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w.dilley\development\ESC\Board reports\Aged debt board reports\"/>
    </mc:Choice>
  </mc:AlternateContent>
  <xr:revisionPtr revIDLastSave="0" documentId="13_ncr:1_{BC6FDFD7-D1B6-42EF-954D-5E87F12C8660}" xr6:coauthVersionLast="47" xr6:coauthVersionMax="47" xr10:uidLastSave="{00000000-0000-0000-0000-000000000000}"/>
  <bookViews>
    <workbookView xWindow="25695" yWindow="0" windowWidth="26010" windowHeight="20985" tabRatio="765" activeTab="1" xr2:uid="{00000000-000D-0000-FFFF-FFFF00000000}"/>
  </bookViews>
  <sheets>
    <sheet name="Categories" sheetId="65" r:id="rId1"/>
    <sheet name="Categories - Chart" sheetId="166" r:id="rId2"/>
    <sheet name="Monthly Performance" sheetId="36" r:id="rId3"/>
    <sheet name="Monthly Summary" sheetId="1" r:id="rId4"/>
    <sheet name="Sheet1" sheetId="162" r:id="rId5"/>
    <sheet name="90 Day Res" sheetId="179" r:id="rId6"/>
    <sheet name="Notes - Jun25" sheetId="205" r:id="rId7"/>
    <sheet name="Notes - May25" sheetId="204" r:id="rId8"/>
    <sheet name="Notes - Apr25" sheetId="203" r:id="rId9"/>
    <sheet name="Notes - Mar25" sheetId="202" r:id="rId10"/>
    <sheet name="Notes - Feb25" sheetId="201" r:id="rId11"/>
    <sheet name="Notes - Jan25" sheetId="200" r:id="rId12"/>
    <sheet name="Notes - Dec24" sheetId="199" r:id="rId13"/>
    <sheet name="Notes - Nov24" sheetId="198" r:id="rId14"/>
    <sheet name="Notes - Oct24" sheetId="197" r:id="rId15"/>
    <sheet name="Notes - Sep24" sheetId="196" r:id="rId16"/>
    <sheet name="Notes - Aug24" sheetId="195" r:id="rId17"/>
    <sheet name="Notes - Jul24" sheetId="194" r:id="rId18"/>
    <sheet name="Notes - Jun24" sheetId="193" r:id="rId19"/>
    <sheet name="Notes - May24" sheetId="192" r:id="rId20"/>
    <sheet name="Notes - Apr24" sheetId="191" r:id="rId21"/>
    <sheet name="Notes - Mar24" sheetId="190" r:id="rId22"/>
    <sheet name="Notes - Feb24" sheetId="189" r:id="rId23"/>
    <sheet name="Notes - Jan24" sheetId="188" r:id="rId24"/>
    <sheet name="Notes - Dec23" sheetId="187" r:id="rId25"/>
    <sheet name="Notes - Nov23" sheetId="186" r:id="rId26"/>
    <sheet name="Notes - Oct23" sheetId="185" r:id="rId27"/>
    <sheet name="Notes - Sep23" sheetId="184" r:id="rId28"/>
    <sheet name="Notes - Aug23" sheetId="183" r:id="rId29"/>
    <sheet name="Notes - Jul23" sheetId="182" r:id="rId30"/>
    <sheet name="Notes - Jun23" sheetId="181" r:id="rId31"/>
    <sheet name="Notes - May23" sheetId="180" r:id="rId32"/>
    <sheet name="Notes - Apr23" sheetId="178" r:id="rId33"/>
    <sheet name="Notes - Mar23" sheetId="176" r:id="rId34"/>
    <sheet name="Notes - Feb23" sheetId="175" r:id="rId35"/>
    <sheet name="Notes - Jan23" sheetId="173" r:id="rId36"/>
    <sheet name="Notes - Dec22" sheetId="172" r:id="rId37"/>
    <sheet name="Notes - Nov22" sheetId="171" r:id="rId38"/>
    <sheet name="Notes - Oct22" sheetId="170" r:id="rId39"/>
    <sheet name="Notes - Sep22" sheetId="169" r:id="rId40"/>
    <sheet name="Notes - AUG22" sheetId="168" r:id="rId41"/>
    <sheet name="Notes - July22" sheetId="167" r:id="rId42"/>
    <sheet name="Notes - June22" sheetId="165" r:id="rId43"/>
    <sheet name="Notes - May22" sheetId="164" r:id="rId44"/>
    <sheet name="Notes - April22" sheetId="163" r:id="rId45"/>
    <sheet name="Notes - March22" sheetId="161" r:id="rId46"/>
    <sheet name="Notes - Feb22" sheetId="160" r:id="rId47"/>
    <sheet name="Notes - Jan22" sheetId="158" r:id="rId48"/>
    <sheet name="Notes - Dec21" sheetId="157" r:id="rId49"/>
    <sheet name="Notes - Nov21" sheetId="156" r:id="rId50"/>
    <sheet name="Notes - Oct21" sheetId="155" r:id="rId51"/>
    <sheet name="Notes - Sept21" sheetId="154" r:id="rId52"/>
    <sheet name="Notes - Aug21" sheetId="153" r:id="rId53"/>
    <sheet name="Notes - Jul21" sheetId="152" r:id="rId54"/>
    <sheet name="Notes - Jun21" sheetId="151" r:id="rId55"/>
    <sheet name="Notes - May21" sheetId="150" r:id="rId56"/>
    <sheet name="Notes - Apr21" sheetId="149" r:id="rId57"/>
    <sheet name="Notes - Mar21" sheetId="148" r:id="rId58"/>
    <sheet name="Notes - Feb21" sheetId="146" r:id="rId59"/>
    <sheet name="Notes - Jan21" sheetId="145" r:id="rId60"/>
    <sheet name="Notes - Dec20" sheetId="144" r:id="rId61"/>
    <sheet name="Notes - Nov20" sheetId="143" r:id="rId62"/>
    <sheet name="Notes - Oct20" sheetId="142" r:id="rId63"/>
    <sheet name="Notes - Sep20" sheetId="141" r:id="rId64"/>
    <sheet name="Notes - Aug20" sheetId="139" r:id="rId65"/>
    <sheet name="Notes - Jul20" sheetId="138" r:id="rId66"/>
    <sheet name="Notes - Jun20" sheetId="137" r:id="rId67"/>
    <sheet name="Notes - May20" sheetId="136" r:id="rId68"/>
    <sheet name="Notes - Apr20" sheetId="135" r:id="rId69"/>
    <sheet name="Notes - Mar20" sheetId="134" r:id="rId70"/>
    <sheet name="Notes - Feb20" sheetId="133" r:id="rId71"/>
    <sheet name="Notes - Jan20" sheetId="132" r:id="rId72"/>
    <sheet name="Notes - Dec19" sheetId="131" r:id="rId73"/>
    <sheet name="Notes - Nov19" sheetId="130" r:id="rId74"/>
    <sheet name="Notes - Oct19" sheetId="129" r:id="rId75"/>
    <sheet name="Notes - Sep19" sheetId="128" r:id="rId76"/>
    <sheet name="Notes - Aug19" sheetId="127" r:id="rId77"/>
    <sheet name="Notes - Jul19" sheetId="126" r:id="rId78"/>
    <sheet name="Notes - Jun19" sheetId="125" r:id="rId79"/>
    <sheet name="Notes - May19" sheetId="123" r:id="rId80"/>
    <sheet name="Notes - Apr19" sheetId="122" r:id="rId81"/>
    <sheet name="Notes - Mar19" sheetId="121" r:id="rId82"/>
    <sheet name="Notes - Feb19" sheetId="120" r:id="rId83"/>
    <sheet name="Notes - Jan19" sheetId="119" r:id="rId84"/>
    <sheet name="Notes - Dec18" sheetId="118" r:id="rId85"/>
    <sheet name="Notes - Nov18" sheetId="117" r:id="rId86"/>
    <sheet name="Notes - Oct18" sheetId="116" r:id="rId87"/>
    <sheet name="Notes - Sept18" sheetId="115" r:id="rId88"/>
    <sheet name="Notes - Aug18" sheetId="114" r:id="rId89"/>
    <sheet name="Notes - Jul18" sheetId="113" r:id="rId90"/>
    <sheet name="Notes - Jun18" sheetId="112" r:id="rId91"/>
    <sheet name="Notes - May18" sheetId="111" r:id="rId92"/>
    <sheet name="Notes - Apr18" sheetId="110" r:id="rId93"/>
    <sheet name="Notes - Mar18" sheetId="109" r:id="rId94"/>
    <sheet name="Notes - Feb18" sheetId="108" r:id="rId95"/>
    <sheet name="Notes - Jan18" sheetId="107" r:id="rId96"/>
    <sheet name="Notes - Dec17" sheetId="106" r:id="rId97"/>
    <sheet name="Notes - Nov17" sheetId="105" r:id="rId98"/>
    <sheet name="Notes - Oct17" sheetId="104" r:id="rId99"/>
    <sheet name="Notes - Sept17" sheetId="103" r:id="rId100"/>
    <sheet name="Notes - Aug17" sheetId="102" r:id="rId101"/>
    <sheet name="Notes - July17" sheetId="101" r:id="rId102"/>
    <sheet name="Notes - June17" sheetId="100" r:id="rId103"/>
    <sheet name="Notes - May17" sheetId="99" r:id="rId104"/>
    <sheet name="Notes - April17" sheetId="98" r:id="rId105"/>
    <sheet name="Notes - Mar17" sheetId="97" r:id="rId106"/>
    <sheet name="Notes - Feb17 " sheetId="96" r:id="rId107"/>
    <sheet name="Notes - Jan17" sheetId="95" r:id="rId108"/>
    <sheet name="Notes - Dec16" sheetId="94" r:id="rId109"/>
    <sheet name="Notes - Nov16" sheetId="93" r:id="rId110"/>
    <sheet name="Notes - Oct16" sheetId="92" r:id="rId111"/>
    <sheet name="Notes - Sep16" sheetId="91" r:id="rId112"/>
    <sheet name="Notes - Aug16" sheetId="90" r:id="rId113"/>
    <sheet name="Notes - Jul16" sheetId="89" r:id="rId114"/>
    <sheet name="Notes - Jun16" sheetId="88" r:id="rId115"/>
    <sheet name="Notes - May16" sheetId="87" r:id="rId116"/>
    <sheet name="Notes - Apr16" sheetId="86" r:id="rId117"/>
    <sheet name="Notes - Mar16" sheetId="85" r:id="rId118"/>
    <sheet name="Notes - Feb16" sheetId="84" r:id="rId119"/>
    <sheet name="Notes - Jan16" sheetId="83" r:id="rId120"/>
    <sheet name="Notes - Dec15" sheetId="82" r:id="rId121"/>
    <sheet name="Notes - Nov15" sheetId="81" r:id="rId122"/>
    <sheet name="Notes - Oct15" sheetId="80" r:id="rId123"/>
    <sheet name="Notes - Sep15" sheetId="79" r:id="rId124"/>
    <sheet name="Notes - Aug15" sheetId="78" r:id="rId125"/>
    <sheet name="Notes - Jul15" sheetId="77" r:id="rId126"/>
    <sheet name="Notes - Jun15" sheetId="76" r:id="rId127"/>
    <sheet name="Notes - May15" sheetId="75" r:id="rId128"/>
    <sheet name="Notes - Apr15" sheetId="74" r:id="rId129"/>
    <sheet name="Notes - Mar15" sheetId="73" r:id="rId130"/>
    <sheet name="Notes - Feb15" sheetId="72" r:id="rId131"/>
    <sheet name="Notes - Jan15" sheetId="71" r:id="rId132"/>
    <sheet name="Notes - Dec14" sheetId="70" r:id="rId133"/>
    <sheet name="Notes - Nov14" sheetId="69" r:id="rId134"/>
    <sheet name="Notes - Oct14" sheetId="68" r:id="rId135"/>
    <sheet name="Notes - Sep14" sheetId="67" r:id="rId136"/>
    <sheet name="Notes - Aug14" sheetId="66" r:id="rId137"/>
    <sheet name="Notes - Jul14" sheetId="64" r:id="rId138"/>
    <sheet name="Notes - Jun14" sheetId="63" r:id="rId139"/>
    <sheet name="Notes - May14" sheetId="62" r:id="rId140"/>
    <sheet name="Notes - Apr14" sheetId="61" r:id="rId141"/>
    <sheet name="Notes - Mar14" sheetId="60" r:id="rId142"/>
    <sheet name="Notes - Feb14" sheetId="59" r:id="rId143"/>
    <sheet name="Notes - Jan14" sheetId="58" r:id="rId144"/>
    <sheet name="Notes - Dec13" sheetId="57" r:id="rId145"/>
    <sheet name="Notes - Nov13" sheetId="56" r:id="rId146"/>
    <sheet name="Notes - Oct13" sheetId="55" r:id="rId147"/>
    <sheet name="Notes - Sep13" sheetId="54" r:id="rId148"/>
    <sheet name="Notes - Aug13" sheetId="53" r:id="rId149"/>
    <sheet name="Notes - Jul 13" sheetId="52" r:id="rId150"/>
    <sheet name="Notes - Jun13" sheetId="51" r:id="rId151"/>
    <sheet name="Notes - May13" sheetId="50" r:id="rId152"/>
    <sheet name="Notes - Apr13" sheetId="49" r:id="rId153"/>
    <sheet name="Notes - Mar13" sheetId="48" r:id="rId154"/>
    <sheet name="Notes - Feb13" sheetId="47" r:id="rId155"/>
    <sheet name="Notes - Jan13" sheetId="45" r:id="rId156"/>
    <sheet name="Notes - Dec12" sheetId="44" r:id="rId157"/>
    <sheet name="Notes - Nov12" sheetId="43" r:id="rId158"/>
    <sheet name="Notes - Oct12" sheetId="42" r:id="rId159"/>
    <sheet name="Notes - Sep12" sheetId="40" r:id="rId160"/>
    <sheet name="Notes - Aug12" sheetId="39" r:id="rId161"/>
    <sheet name="Notes - Jul12" sheetId="38" r:id="rId162"/>
    <sheet name="Notes - Jun12" sheetId="37" r:id="rId163"/>
    <sheet name="Notes - May12" sheetId="35" r:id="rId164"/>
    <sheet name="Notes - Apr12" sheetId="34" r:id="rId165"/>
    <sheet name="Sundry Debtors" sheetId="22" r:id="rId166"/>
    <sheet name="Notes - Mar12" sheetId="33" r:id="rId167"/>
    <sheet name="Notes - Feb12" sheetId="32" r:id="rId168"/>
    <sheet name="Notes - Jan12" sheetId="31" r:id="rId169"/>
    <sheet name="Notes - Dec11" sheetId="30" r:id="rId170"/>
    <sheet name="Notes - Nov11" sheetId="29" r:id="rId171"/>
    <sheet name="Notes - Oct11" sheetId="28" r:id="rId172"/>
    <sheet name="Notes - Sep11" sheetId="27" r:id="rId173"/>
    <sheet name="Notes - Aug 11" sheetId="26" r:id="rId174"/>
    <sheet name="Notes - Jul 11" sheetId="25" r:id="rId175"/>
    <sheet name="Notes - Jun 11" sheetId="24" r:id="rId176"/>
    <sheet name="Notes - May 11" sheetId="23" r:id="rId177"/>
    <sheet name="Notes - Apr 11" sheetId="21" r:id="rId178"/>
    <sheet name="Notes - Mar 11" sheetId="20" r:id="rId179"/>
    <sheet name="Notes - Feb 11" sheetId="19" r:id="rId180"/>
    <sheet name="Notes - Jan 11" sheetId="18" r:id="rId181"/>
    <sheet name="Notes - Dec 10" sheetId="17" r:id="rId182"/>
    <sheet name="Notes - Nov 10" sheetId="16" r:id="rId183"/>
    <sheet name="Notes - Oct 10" sheetId="15" r:id="rId184"/>
    <sheet name="Notes - Sept10" sheetId="14" r:id="rId185"/>
    <sheet name="Notes - Aug10" sheetId="13" r:id="rId186"/>
    <sheet name="Notes - Jul10" sheetId="11" r:id="rId187"/>
    <sheet name="Notes - Jun10" sheetId="10" r:id="rId188"/>
    <sheet name="Notes - May10" sheetId="9" r:id="rId189"/>
    <sheet name="Notes - Apr10" sheetId="8" r:id="rId190"/>
    <sheet name="Notes - Mar10" sheetId="7" r:id="rId191"/>
    <sheet name="Monthly Summary Performance" sheetId="2" r:id="rId192"/>
    <sheet name="Other Graphs" sheetId="6" r:id="rId193"/>
    <sheet name="Res-NonRes-Rural" sheetId="41" r:id="rId194"/>
  </sheets>
  <definedNames>
    <definedName name="OLE_LINK2" localSheetId="191">'Monthly Summary Performance'!$B$99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5" i="36" l="1"/>
  <c r="P185" i="36"/>
  <c r="ED3" i="166"/>
  <c r="ED4" i="166"/>
  <c r="ED5" i="166"/>
  <c r="ED6" i="166"/>
  <c r="ED7" i="166"/>
  <c r="ED8" i="166"/>
  <c r="ED2" i="166"/>
  <c r="ED1" i="166"/>
  <c r="G1331" i="65"/>
  <c r="G1330" i="65"/>
  <c r="G1329" i="65"/>
  <c r="G1328" i="65"/>
  <c r="G1327" i="65"/>
  <c r="G1326" i="65"/>
  <c r="G1325" i="65"/>
  <c r="G1332" i="65" s="1"/>
  <c r="HY36" i="1"/>
  <c r="HZ36" i="1" s="1"/>
  <c r="P184" i="36"/>
  <c r="Q184" i="36"/>
  <c r="M184" i="36"/>
  <c r="N184" i="36"/>
  <c r="L185" i="36"/>
  <c r="H184" i="36"/>
  <c r="I184" i="36"/>
  <c r="G185" i="36"/>
  <c r="C185" i="36"/>
  <c r="D185" i="36"/>
  <c r="B185" i="36"/>
  <c r="HI12" i="1"/>
  <c r="HI3" i="1"/>
  <c r="HI4" i="1"/>
  <c r="HI5" i="1"/>
  <c r="HI2" i="1"/>
  <c r="B17" i="205"/>
  <c r="B16" i="205"/>
  <c r="B15" i="205"/>
  <c r="B14" i="205"/>
  <c r="HX36" i="1"/>
  <c r="HJ1" i="1"/>
  <c r="HK1" i="1" s="1"/>
  <c r="HJ6" i="1"/>
  <c r="HK6" i="1"/>
  <c r="HL6" i="1"/>
  <c r="HM6" i="1"/>
  <c r="HN6" i="1"/>
  <c r="HO6" i="1"/>
  <c r="HP6" i="1"/>
  <c r="HQ6" i="1"/>
  <c r="HR6" i="1"/>
  <c r="HS6" i="1"/>
  <c r="HT6" i="1"/>
  <c r="HU6" i="1"/>
  <c r="EC1" i="166"/>
  <c r="G1321" i="65"/>
  <c r="H1331" i="65" s="1"/>
  <c r="G1320" i="65"/>
  <c r="G1319" i="65"/>
  <c r="G1318" i="65"/>
  <c r="H1328" i="65" s="1"/>
  <c r="G1317" i="65"/>
  <c r="EC4" i="166" s="1"/>
  <c r="G1316" i="65"/>
  <c r="H1326" i="65" s="1"/>
  <c r="G1315" i="65"/>
  <c r="EC2" i="166" s="1"/>
  <c r="P183" i="36"/>
  <c r="Q183" i="36"/>
  <c r="M183" i="36"/>
  <c r="N183" i="36" s="1"/>
  <c r="L184" i="36"/>
  <c r="H183" i="36"/>
  <c r="I183" i="36"/>
  <c r="G184" i="36"/>
  <c r="C184" i="36"/>
  <c r="D184" i="36"/>
  <c r="B184" i="36"/>
  <c r="HH3" i="1"/>
  <c r="HH4" i="1"/>
  <c r="HH5" i="1"/>
  <c r="HH2" i="1"/>
  <c r="B17" i="204"/>
  <c r="B16" i="204"/>
  <c r="B15" i="204"/>
  <c r="B14" i="204"/>
  <c r="EB1" i="166"/>
  <c r="G1311" i="65"/>
  <c r="H1321" i="65" s="1"/>
  <c r="G1310" i="65"/>
  <c r="EB7" i="166" s="1"/>
  <c r="G1309" i="65"/>
  <c r="EB6" i="166" s="1"/>
  <c r="G1308" i="65"/>
  <c r="EB5" i="166" s="1"/>
  <c r="G1307" i="65"/>
  <c r="G1306" i="65"/>
  <c r="G1305" i="65"/>
  <c r="EB2" i="166" s="1"/>
  <c r="P182" i="36"/>
  <c r="Q182" i="36"/>
  <c r="M182" i="36"/>
  <c r="N182" i="36" s="1"/>
  <c r="L183" i="36"/>
  <c r="H182" i="36"/>
  <c r="I182" i="36"/>
  <c r="G183" i="36"/>
  <c r="C183" i="36"/>
  <c r="D183" i="36"/>
  <c r="B183" i="36"/>
  <c r="HG3" i="1"/>
  <c r="HG4" i="1"/>
  <c r="HG5" i="1"/>
  <c r="HG2" i="1"/>
  <c r="B17" i="203"/>
  <c r="B16" i="203"/>
  <c r="B15" i="203"/>
  <c r="B14" i="203"/>
  <c r="B18" i="203" s="1"/>
  <c r="EA1" i="166"/>
  <c r="G1301" i="65"/>
  <c r="G1300" i="65"/>
  <c r="G1299" i="65"/>
  <c r="G1298" i="65"/>
  <c r="G1297" i="65"/>
  <c r="EA4" i="166" s="1"/>
  <c r="G1296" i="65"/>
  <c r="H1306" i="65" s="1"/>
  <c r="G1295" i="65"/>
  <c r="EA2" i="166" s="1"/>
  <c r="P181" i="36"/>
  <c r="Q181" i="36" s="1"/>
  <c r="M181" i="36"/>
  <c r="N181" i="36"/>
  <c r="L182" i="36"/>
  <c r="H181" i="36"/>
  <c r="I181" i="36"/>
  <c r="G182" i="36"/>
  <c r="C182" i="36"/>
  <c r="D182" i="36"/>
  <c r="B182" i="36"/>
  <c r="HF3" i="1"/>
  <c r="HF4" i="1"/>
  <c r="HF5" i="1"/>
  <c r="HF2" i="1"/>
  <c r="B17" i="202"/>
  <c r="B16" i="202"/>
  <c r="B15" i="202"/>
  <c r="B14" i="202"/>
  <c r="DZ1" i="166"/>
  <c r="G1291" i="65"/>
  <c r="DZ8" i="166" s="1"/>
  <c r="G1290" i="65"/>
  <c r="DZ7" i="166" s="1"/>
  <c r="G1289" i="65"/>
  <c r="DZ6" i="166" s="1"/>
  <c r="G1288" i="65"/>
  <c r="DZ5" i="166" s="1"/>
  <c r="G1287" i="65"/>
  <c r="G1286" i="65"/>
  <c r="G1285" i="65"/>
  <c r="P180" i="36"/>
  <c r="Q180" i="36"/>
  <c r="M180" i="36"/>
  <c r="N180" i="36" s="1"/>
  <c r="L181" i="36"/>
  <c r="H180" i="36"/>
  <c r="I180" i="36" s="1"/>
  <c r="G181" i="36"/>
  <c r="C181" i="36"/>
  <c r="D181" i="36"/>
  <c r="B181" i="36"/>
  <c r="HE3" i="1"/>
  <c r="HE4" i="1"/>
  <c r="HE5" i="1"/>
  <c r="HE2" i="1"/>
  <c r="B17" i="201"/>
  <c r="B16" i="201"/>
  <c r="B15" i="201"/>
  <c r="B14" i="201"/>
  <c r="DY1" i="166"/>
  <c r="G1281" i="65"/>
  <c r="G1280" i="65"/>
  <c r="G1279" i="65"/>
  <c r="G1278" i="65"/>
  <c r="G1277" i="65"/>
  <c r="DY4" i="166" s="1"/>
  <c r="G1276" i="65"/>
  <c r="H1286" i="65" s="1"/>
  <c r="G1275" i="65"/>
  <c r="DY2" i="166" s="1"/>
  <c r="P179" i="36"/>
  <c r="Q179" i="36"/>
  <c r="M179" i="36"/>
  <c r="N179" i="36" s="1"/>
  <c r="L180" i="36"/>
  <c r="H179" i="36"/>
  <c r="I179" i="36" s="1"/>
  <c r="G180" i="36"/>
  <c r="C180" i="36"/>
  <c r="D180" i="36"/>
  <c r="B180" i="36"/>
  <c r="HD3" i="1"/>
  <c r="HD4" i="1"/>
  <c r="HD5" i="1"/>
  <c r="HD2" i="1"/>
  <c r="B17" i="200"/>
  <c r="B16" i="200"/>
  <c r="B15" i="200"/>
  <c r="B14" i="200"/>
  <c r="B18" i="200" s="1"/>
  <c r="DX1" i="166"/>
  <c r="G1271" i="65"/>
  <c r="H1281" i="65" s="1"/>
  <c r="G1270" i="65"/>
  <c r="DX7" i="166" s="1"/>
  <c r="G1269" i="65"/>
  <c r="DX6" i="166" s="1"/>
  <c r="G1268" i="65"/>
  <c r="DX5" i="166" s="1"/>
  <c r="G1267" i="65"/>
  <c r="DX4" i="166" s="1"/>
  <c r="G1266" i="65"/>
  <c r="G1265" i="65"/>
  <c r="DX2" i="166" s="1"/>
  <c r="P178" i="36"/>
  <c r="Q178" i="36"/>
  <c r="M178" i="36"/>
  <c r="N178" i="36" s="1"/>
  <c r="L179" i="36"/>
  <c r="H178" i="36"/>
  <c r="I178" i="36"/>
  <c r="G179" i="36"/>
  <c r="C179" i="36"/>
  <c r="D179" i="36"/>
  <c r="B179" i="36"/>
  <c r="I1328" i="65" l="1"/>
  <c r="I1326" i="65"/>
  <c r="I1287" i="65"/>
  <c r="I1327" i="65"/>
  <c r="I1279" i="65"/>
  <c r="I1298" i="65"/>
  <c r="H1330" i="65"/>
  <c r="I1280" i="65"/>
  <c r="I1299" i="65"/>
  <c r="DX8" i="166"/>
  <c r="I1329" i="65"/>
  <c r="I1331" i="65"/>
  <c r="I1278" i="65"/>
  <c r="I1307" i="65"/>
  <c r="I1300" i="65"/>
  <c r="DZ4" i="166"/>
  <c r="H1325" i="65"/>
  <c r="I1325" i="65"/>
  <c r="I1330" i="65"/>
  <c r="H1327" i="65"/>
  <c r="H1329" i="65"/>
  <c r="I1301" i="65"/>
  <c r="H1301" i="65"/>
  <c r="H1318" i="65"/>
  <c r="I1285" i="65"/>
  <c r="H1319" i="65"/>
  <c r="I1286" i="65"/>
  <c r="EB8" i="166"/>
  <c r="I1320" i="65"/>
  <c r="I1321" i="65"/>
  <c r="G1312" i="65"/>
  <c r="EB4" i="166"/>
  <c r="I1281" i="65"/>
  <c r="I1306" i="65"/>
  <c r="DZ3" i="166"/>
  <c r="DX3" i="166"/>
  <c r="I1288" i="65"/>
  <c r="EB3" i="166"/>
  <c r="H1288" i="65"/>
  <c r="DY7" i="166"/>
  <c r="H1289" i="65"/>
  <c r="EA8" i="166"/>
  <c r="I1308" i="65"/>
  <c r="EC7" i="166"/>
  <c r="DY6" i="166"/>
  <c r="I1290" i="65"/>
  <c r="EA7" i="166"/>
  <c r="I1309" i="65"/>
  <c r="EC6" i="166"/>
  <c r="DY5" i="166"/>
  <c r="I1291" i="65"/>
  <c r="I1295" i="65"/>
  <c r="EA6" i="166"/>
  <c r="I1310" i="65"/>
  <c r="EC5" i="166"/>
  <c r="H1299" i="65"/>
  <c r="DY8" i="166"/>
  <c r="EC8" i="166"/>
  <c r="I1276" i="65"/>
  <c r="H1291" i="65"/>
  <c r="I1296" i="65"/>
  <c r="EA5" i="166"/>
  <c r="I1311" i="65"/>
  <c r="G1322" i="65"/>
  <c r="I1332" i="65" s="1"/>
  <c r="H1276" i="65"/>
  <c r="DY3" i="166"/>
  <c r="H1296" i="65"/>
  <c r="H1311" i="65"/>
  <c r="I1316" i="65"/>
  <c r="EC3" i="166"/>
  <c r="H1277" i="65"/>
  <c r="DZ2" i="166"/>
  <c r="H1297" i="65"/>
  <c r="EA3" i="166"/>
  <c r="I1317" i="65"/>
  <c r="B18" i="205"/>
  <c r="HL1" i="1"/>
  <c r="HK10" i="1"/>
  <c r="HJ10" i="1"/>
  <c r="H1317" i="65"/>
  <c r="I1318" i="65"/>
  <c r="H1316" i="65"/>
  <c r="H1322" i="65"/>
  <c r="I1319" i="65"/>
  <c r="I1315" i="65"/>
  <c r="H1320" i="65"/>
  <c r="H1315" i="65"/>
  <c r="B18" i="204"/>
  <c r="H1308" i="65"/>
  <c r="H1305" i="65"/>
  <c r="I1305" i="65"/>
  <c r="H1310" i="65"/>
  <c r="H1309" i="65"/>
  <c r="H1307" i="65"/>
  <c r="H1298" i="65"/>
  <c r="H1300" i="65"/>
  <c r="G1302" i="65"/>
  <c r="H1312" i="65" s="1"/>
  <c r="I1297" i="65"/>
  <c r="H1295" i="65"/>
  <c r="B18" i="202"/>
  <c r="I1289" i="65"/>
  <c r="G1292" i="65"/>
  <c r="H1285" i="65"/>
  <c r="H1290" i="65"/>
  <c r="H1287" i="65"/>
  <c r="B18" i="201"/>
  <c r="H1279" i="65"/>
  <c r="G1282" i="65"/>
  <c r="H1282" i="65" s="1"/>
  <c r="I1277" i="65"/>
  <c r="H1280" i="65"/>
  <c r="H1275" i="65"/>
  <c r="I1275" i="65"/>
  <c r="H1278" i="65"/>
  <c r="G1272" i="65"/>
  <c r="HC3" i="1"/>
  <c r="HC4" i="1"/>
  <c r="HC5" i="1"/>
  <c r="HC2" i="1"/>
  <c r="B17" i="199"/>
  <c r="B16" i="199"/>
  <c r="B15" i="199"/>
  <c r="B14" i="199"/>
  <c r="DW3" i="166"/>
  <c r="DW1" i="166"/>
  <c r="G1261" i="65"/>
  <c r="G1260" i="65"/>
  <c r="H1270" i="65" s="1"/>
  <c r="G1259" i="65"/>
  <c r="H1269" i="65" s="1"/>
  <c r="G1258" i="65"/>
  <c r="I1268" i="65" s="1"/>
  <c r="G1257" i="65"/>
  <c r="DW4" i="166" s="1"/>
  <c r="G1256" i="65"/>
  <c r="H1266" i="65" s="1"/>
  <c r="G1255" i="65"/>
  <c r="DW2" i="166" s="1"/>
  <c r="P177" i="36"/>
  <c r="Q177" i="36" s="1"/>
  <c r="M177" i="36"/>
  <c r="N177" i="36" s="1"/>
  <c r="L178" i="36"/>
  <c r="H177" i="36"/>
  <c r="I177" i="36" s="1"/>
  <c r="G178" i="36"/>
  <c r="C178" i="36"/>
  <c r="D178" i="36"/>
  <c r="B178" i="36"/>
  <c r="HB3" i="1"/>
  <c r="HB4" i="1"/>
  <c r="HB5" i="1"/>
  <c r="HB2" i="1"/>
  <c r="HB6" i="1" s="1"/>
  <c r="HB12" i="1" s="1"/>
  <c r="B17" i="198"/>
  <c r="B16" i="198"/>
  <c r="B15" i="198"/>
  <c r="B14" i="198"/>
  <c r="B18" i="198" s="1"/>
  <c r="HX35" i="1"/>
  <c r="DV4" i="166"/>
  <c r="DV2" i="166"/>
  <c r="DV1" i="166"/>
  <c r="G1251" i="65"/>
  <c r="DV8" i="166" s="1"/>
  <c r="G1250" i="65"/>
  <c r="DV7" i="166" s="1"/>
  <c r="G1249" i="65"/>
  <c r="G1248" i="65"/>
  <c r="G1247" i="65"/>
  <c r="G1246" i="65"/>
  <c r="H1256" i="65" s="1"/>
  <c r="G1245" i="65"/>
  <c r="Q176" i="36"/>
  <c r="P176" i="36"/>
  <c r="N176" i="36"/>
  <c r="M176" i="36"/>
  <c r="L177" i="36"/>
  <c r="I176" i="36"/>
  <c r="H176" i="36"/>
  <c r="G177" i="36"/>
  <c r="C177" i="36"/>
  <c r="D177" i="36"/>
  <c r="B177" i="36"/>
  <c r="HA3" i="1"/>
  <c r="HA4" i="1"/>
  <c r="HA5" i="1"/>
  <c r="HA2" i="1"/>
  <c r="HA6" i="1" s="1"/>
  <c r="HA12" i="1" s="1"/>
  <c r="B17" i="197"/>
  <c r="B16" i="197"/>
  <c r="B15" i="197"/>
  <c r="B14" i="197"/>
  <c r="B18" i="197" s="1"/>
  <c r="DU5" i="166"/>
  <c r="DU1" i="166"/>
  <c r="G1241" i="65"/>
  <c r="H1251" i="65" s="1"/>
  <c r="G1240" i="65"/>
  <c r="DU7" i="166" s="1"/>
  <c r="G1239" i="65"/>
  <c r="DU6" i="166" s="1"/>
  <c r="G1238" i="65"/>
  <c r="G1237" i="65"/>
  <c r="G1236" i="65"/>
  <c r="G1235" i="65"/>
  <c r="Q175" i="36"/>
  <c r="P175" i="36"/>
  <c r="N175" i="36"/>
  <c r="M175" i="36"/>
  <c r="L176" i="36"/>
  <c r="I175" i="36"/>
  <c r="H175" i="36"/>
  <c r="G176" i="36"/>
  <c r="C176" i="36"/>
  <c r="D176" i="36"/>
  <c r="B176" i="36"/>
  <c r="GZ5" i="1"/>
  <c r="GZ4" i="1"/>
  <c r="GZ3" i="1"/>
  <c r="GZ2" i="1"/>
  <c r="B17" i="196"/>
  <c r="B16" i="196"/>
  <c r="B15" i="196"/>
  <c r="B14" i="196"/>
  <c r="B18" i="196" s="1"/>
  <c r="DT1" i="166"/>
  <c r="G1231" i="65"/>
  <c r="DT8" i="166" s="1"/>
  <c r="G1230" i="65"/>
  <c r="DT7" i="166" s="1"/>
  <c r="G1229" i="65"/>
  <c r="H1239" i="65" s="1"/>
  <c r="G1228" i="65"/>
  <c r="H1238" i="65" s="1"/>
  <c r="G1227" i="65"/>
  <c r="G1226" i="65"/>
  <c r="H1236" i="65" s="1"/>
  <c r="G1225" i="65"/>
  <c r="DT2" i="166" s="1"/>
  <c r="Q174" i="36"/>
  <c r="P174" i="36"/>
  <c r="N174" i="36"/>
  <c r="M174" i="36"/>
  <c r="L175" i="36"/>
  <c r="I174" i="36"/>
  <c r="H174" i="36"/>
  <c r="G175" i="36"/>
  <c r="C175" i="36"/>
  <c r="D175" i="36"/>
  <c r="B175" i="36"/>
  <c r="GY3" i="1"/>
  <c r="GY4" i="1"/>
  <c r="GY6" i="1" s="1"/>
  <c r="GY12" i="1" s="1"/>
  <c r="GY5" i="1"/>
  <c r="GY2" i="1"/>
  <c r="IH5" i="1"/>
  <c r="B17" i="195"/>
  <c r="B16" i="195"/>
  <c r="B15" i="195"/>
  <c r="B14" i="195"/>
  <c r="B18" i="195" s="1"/>
  <c r="DS1" i="166"/>
  <c r="G1221" i="65"/>
  <c r="H1231" i="65" s="1"/>
  <c r="G1220" i="65"/>
  <c r="G1219" i="65"/>
  <c r="G1218" i="65"/>
  <c r="G1217" i="65"/>
  <c r="DS4" i="166" s="1"/>
  <c r="G1216" i="65"/>
  <c r="DS3" i="166" s="1"/>
  <c r="G1215" i="65"/>
  <c r="DS2" i="166" s="1"/>
  <c r="P173" i="36"/>
  <c r="Q173" i="36"/>
  <c r="M173" i="36"/>
  <c r="N173" i="36"/>
  <c r="L174" i="36"/>
  <c r="H173" i="36"/>
  <c r="I173" i="36" s="1"/>
  <c r="G174" i="36"/>
  <c r="C174" i="36"/>
  <c r="D174" i="36"/>
  <c r="B174" i="36"/>
  <c r="GX3" i="1"/>
  <c r="GX4" i="1"/>
  <c r="GX5" i="1"/>
  <c r="GX2" i="1"/>
  <c r="GX6" i="1" s="1"/>
  <c r="GX12" i="1" s="1"/>
  <c r="B17" i="194"/>
  <c r="B16" i="194"/>
  <c r="B15" i="194"/>
  <c r="B14" i="194"/>
  <c r="B18" i="194" s="1"/>
  <c r="HD6" i="1"/>
  <c r="HD12" i="1" s="1"/>
  <c r="HE6" i="1"/>
  <c r="HE12" i="1" s="1"/>
  <c r="HF6" i="1"/>
  <c r="HF12" i="1" s="1"/>
  <c r="HG6" i="1"/>
  <c r="HG12" i="1" s="1"/>
  <c r="HH6" i="1"/>
  <c r="HH12" i="1" s="1"/>
  <c r="HI6" i="1"/>
  <c r="DR1" i="166"/>
  <c r="G1211" i="65"/>
  <c r="DR8" i="166" s="1"/>
  <c r="G1210" i="65"/>
  <c r="G1209" i="65"/>
  <c r="G1208" i="65"/>
  <c r="G1207" i="65"/>
  <c r="DR4" i="166" s="1"/>
  <c r="G1206" i="65"/>
  <c r="H1216" i="65" s="1"/>
  <c r="G1205" i="65"/>
  <c r="DR2" i="166" s="1"/>
  <c r="Q172" i="36"/>
  <c r="P172" i="36"/>
  <c r="N172" i="36"/>
  <c r="M172" i="36"/>
  <c r="L173" i="36"/>
  <c r="I172" i="36"/>
  <c r="H172" i="36"/>
  <c r="G173" i="36"/>
  <c r="C173" i="36"/>
  <c r="D173" i="36"/>
  <c r="B173" i="36"/>
  <c r="GW5" i="1"/>
  <c r="GW4" i="1"/>
  <c r="GW3" i="1"/>
  <c r="GW2" i="1"/>
  <c r="B17" i="193"/>
  <c r="B16" i="193"/>
  <c r="B15" i="193"/>
  <c r="B14" i="193"/>
  <c r="B18" i="193" s="1"/>
  <c r="DQ1" i="166"/>
  <c r="G1201" i="65"/>
  <c r="G1200" i="65"/>
  <c r="G1199" i="65"/>
  <c r="DQ6" i="166" s="1"/>
  <c r="G1198" i="65"/>
  <c r="DQ5" i="166" s="1"/>
  <c r="G1197" i="65"/>
  <c r="G1196" i="65"/>
  <c r="G1195" i="65"/>
  <c r="Q171" i="36"/>
  <c r="P171" i="36"/>
  <c r="N171" i="36"/>
  <c r="M171" i="36"/>
  <c r="L172" i="36"/>
  <c r="H171" i="36"/>
  <c r="I171" i="36" s="1"/>
  <c r="G172" i="36"/>
  <c r="C172" i="36"/>
  <c r="D172" i="36"/>
  <c r="B172" i="36"/>
  <c r="GV5" i="1"/>
  <c r="GV4" i="1"/>
  <c r="GV3" i="1"/>
  <c r="GV2" i="1"/>
  <c r="B17" i="192"/>
  <c r="B16" i="192"/>
  <c r="B15" i="192"/>
  <c r="B14" i="192"/>
  <c r="DO3" i="166"/>
  <c r="DP6" i="166"/>
  <c r="DP1" i="166"/>
  <c r="DO1" i="166"/>
  <c r="G1191" i="65"/>
  <c r="H1201" i="65" s="1"/>
  <c r="G1190" i="65"/>
  <c r="DP7" i="166" s="1"/>
  <c r="G1189" i="65"/>
  <c r="G1188" i="65"/>
  <c r="G1187" i="65"/>
  <c r="G1186" i="65"/>
  <c r="H1196" i="65" s="1"/>
  <c r="G1185" i="65"/>
  <c r="DP2" i="166" s="1"/>
  <c r="P170" i="36"/>
  <c r="Q170" i="36"/>
  <c r="M170" i="36"/>
  <c r="N170" i="36" s="1"/>
  <c r="L171" i="36"/>
  <c r="H170" i="36"/>
  <c r="I170" i="36"/>
  <c r="G171" i="36"/>
  <c r="D171" i="36"/>
  <c r="C171" i="36"/>
  <c r="B171" i="36"/>
  <c r="GU3" i="1"/>
  <c r="GU4" i="1"/>
  <c r="GU5" i="1"/>
  <c r="GU2" i="1"/>
  <c r="B17" i="191"/>
  <c r="B16" i="191"/>
  <c r="B15" i="191"/>
  <c r="B14" i="191"/>
  <c r="G1181" i="65"/>
  <c r="G1180" i="65"/>
  <c r="DO7" i="166" s="1"/>
  <c r="G1179" i="65"/>
  <c r="G1178" i="65"/>
  <c r="G1177" i="65"/>
  <c r="G1176" i="65"/>
  <c r="G1175" i="65"/>
  <c r="DO2" i="166" s="1"/>
  <c r="P169" i="36"/>
  <c r="Q169" i="36"/>
  <c r="M169" i="36"/>
  <c r="N169" i="36"/>
  <c r="L170" i="36"/>
  <c r="H169" i="36"/>
  <c r="I169" i="36" s="1"/>
  <c r="G170" i="36"/>
  <c r="C170" i="36"/>
  <c r="D170" i="36"/>
  <c r="B170" i="36"/>
  <c r="GT3" i="1"/>
  <c r="GT4" i="1"/>
  <c r="GT5" i="1"/>
  <c r="GT2" i="1"/>
  <c r="B17" i="190"/>
  <c r="B16" i="190"/>
  <c r="B15" i="190"/>
  <c r="B14" i="190"/>
  <c r="B18" i="190" s="1"/>
  <c r="DN6" i="166"/>
  <c r="DN1" i="166"/>
  <c r="G1171" i="65"/>
  <c r="H1181" i="65" s="1"/>
  <c r="G1170" i="65"/>
  <c r="DN7" i="166" s="1"/>
  <c r="G1169" i="65"/>
  <c r="G1168" i="65"/>
  <c r="G1167" i="65"/>
  <c r="DN4" i="166" s="1"/>
  <c r="G1166" i="65"/>
  <c r="G1165" i="65"/>
  <c r="DN2" i="166" s="1"/>
  <c r="Q168" i="36"/>
  <c r="P168" i="36"/>
  <c r="N168" i="36"/>
  <c r="M168" i="36"/>
  <c r="L169" i="36"/>
  <c r="I168" i="36"/>
  <c r="H168" i="36"/>
  <c r="G169" i="36"/>
  <c r="C169" i="36"/>
  <c r="D169" i="36"/>
  <c r="B169" i="36"/>
  <c r="GS3" i="1"/>
  <c r="GS4" i="1"/>
  <c r="GS5" i="1"/>
  <c r="GR4" i="1"/>
  <c r="GS2" i="1"/>
  <c r="B17" i="189"/>
  <c r="B16" i="189"/>
  <c r="B15" i="189"/>
  <c r="B14" i="189"/>
  <c r="B18" i="189" s="1"/>
  <c r="DM1" i="166"/>
  <c r="H1161" i="65"/>
  <c r="G1161" i="65"/>
  <c r="I1160" i="65"/>
  <c r="G1160" i="65"/>
  <c r="G1159" i="65"/>
  <c r="DM6" i="166" s="1"/>
  <c r="G1158" i="65"/>
  <c r="DM5" i="166" s="1"/>
  <c r="G1157" i="65"/>
  <c r="I1167" i="65" s="1"/>
  <c r="G1156" i="65"/>
  <c r="H1166" i="65" s="1"/>
  <c r="G1155" i="65"/>
  <c r="DM2" i="166" s="1"/>
  <c r="Q167" i="36"/>
  <c r="P167" i="36"/>
  <c r="N167" i="36"/>
  <c r="M167" i="36"/>
  <c r="L168" i="36"/>
  <c r="I167" i="36"/>
  <c r="H167" i="36"/>
  <c r="G168" i="36"/>
  <c r="C168" i="36"/>
  <c r="D168" i="36"/>
  <c r="B168" i="36"/>
  <c r="GR5" i="1"/>
  <c r="GR3" i="1"/>
  <c r="GQ3" i="1"/>
  <c r="GR2" i="1"/>
  <c r="B17" i="188"/>
  <c r="B16" i="188"/>
  <c r="B15" i="188"/>
  <c r="B14" i="188"/>
  <c r="B18" i="188" s="1"/>
  <c r="HX34" i="1"/>
  <c r="DL1" i="166"/>
  <c r="H1151" i="65"/>
  <c r="G1151" i="65"/>
  <c r="G1150" i="65"/>
  <c r="G1149" i="65"/>
  <c r="G1148" i="65"/>
  <c r="G1147" i="65"/>
  <c r="G1146" i="65"/>
  <c r="H1156" i="65" s="1"/>
  <c r="G1145" i="65"/>
  <c r="DL2" i="166" s="1"/>
  <c r="P166" i="36"/>
  <c r="Q166" i="36"/>
  <c r="M166" i="36"/>
  <c r="N166" i="36" s="1"/>
  <c r="L167" i="36"/>
  <c r="H166" i="36"/>
  <c r="G167" i="36"/>
  <c r="C167" i="36"/>
  <c r="D167" i="36"/>
  <c r="B167" i="36"/>
  <c r="GQ4" i="1"/>
  <c r="GQ5" i="1"/>
  <c r="GQ2" i="1"/>
  <c r="B17" i="187"/>
  <c r="B16" i="187"/>
  <c r="B15" i="187"/>
  <c r="B14" i="187"/>
  <c r="DK1" i="166"/>
  <c r="G1141" i="65"/>
  <c r="DK8" i="166" s="1"/>
  <c r="G1140" i="65"/>
  <c r="DK7" i="166" s="1"/>
  <c r="G1139" i="65"/>
  <c r="DK6" i="166" s="1"/>
  <c r="G1138" i="65"/>
  <c r="G1137" i="65"/>
  <c r="G1136" i="65"/>
  <c r="I1136" i="65" s="1"/>
  <c r="G1135" i="65"/>
  <c r="DK2" i="166" s="1"/>
  <c r="C166" i="36"/>
  <c r="L166" i="36" s="1"/>
  <c r="D166" i="36"/>
  <c r="M165" i="36" s="1"/>
  <c r="B166" i="36"/>
  <c r="G166" i="36" s="1"/>
  <c r="GP3" i="1"/>
  <c r="GP4" i="1"/>
  <c r="GP5" i="1"/>
  <c r="GP2" i="1"/>
  <c r="B17" i="186"/>
  <c r="B16" i="186"/>
  <c r="B15" i="186"/>
  <c r="B14" i="186"/>
  <c r="B18" i="186" s="1"/>
  <c r="DJ4" i="166"/>
  <c r="DJ5" i="166"/>
  <c r="DJ1" i="166"/>
  <c r="G1131" i="65"/>
  <c r="DJ8" i="166" s="1"/>
  <c r="G1130" i="65"/>
  <c r="DJ7" i="166" s="1"/>
  <c r="G1129" i="65"/>
  <c r="G1128" i="65"/>
  <c r="G1127" i="65"/>
  <c r="G1126" i="65"/>
  <c r="H1136" i="65" s="1"/>
  <c r="G1125" i="65"/>
  <c r="DJ2" i="166" s="1"/>
  <c r="H164" i="36"/>
  <c r="C165" i="36"/>
  <c r="L165" i="36" s="1"/>
  <c r="D165" i="36"/>
  <c r="M164" i="36" s="1"/>
  <c r="N164" i="36" s="1"/>
  <c r="B165" i="36"/>
  <c r="P165" i="36" s="1"/>
  <c r="GO3" i="1"/>
  <c r="GO6" i="1" s="1"/>
  <c r="GO12" i="1" s="1"/>
  <c r="GO4" i="1"/>
  <c r="GO5" i="1"/>
  <c r="GO2" i="1"/>
  <c r="B17" i="185"/>
  <c r="B16" i="185"/>
  <c r="B15" i="185"/>
  <c r="B14" i="185"/>
  <c r="B18" i="185" s="1"/>
  <c r="DI1" i="166"/>
  <c r="G1121" i="65"/>
  <c r="G1120" i="65"/>
  <c r="G1119" i="65"/>
  <c r="DI6" i="166" s="1"/>
  <c r="G1118" i="65"/>
  <c r="G1117" i="65"/>
  <c r="DI4" i="166" s="1"/>
  <c r="G1116" i="65"/>
  <c r="G1115" i="65"/>
  <c r="DI2" i="166" s="1"/>
  <c r="M163" i="36"/>
  <c r="L164" i="36"/>
  <c r="H163" i="36"/>
  <c r="C164" i="36"/>
  <c r="D164" i="36"/>
  <c r="B164" i="36"/>
  <c r="G164" i="36" s="1"/>
  <c r="I164" i="36" s="1"/>
  <c r="GN3" i="1"/>
  <c r="GN4" i="1"/>
  <c r="GN5" i="1"/>
  <c r="GN2" i="1"/>
  <c r="B17" i="184"/>
  <c r="B16" i="184"/>
  <c r="B15" i="184"/>
  <c r="B14" i="184"/>
  <c r="DH1" i="166"/>
  <c r="DG1" i="166"/>
  <c r="G1111" i="65"/>
  <c r="DH8" i="166" s="1"/>
  <c r="G1110" i="65"/>
  <c r="G1109" i="65"/>
  <c r="G1108" i="65"/>
  <c r="DH5" i="166" s="1"/>
  <c r="G1107" i="65"/>
  <c r="DH4" i="166" s="1"/>
  <c r="G1106" i="65"/>
  <c r="G1105" i="65"/>
  <c r="DH2" i="166" s="1"/>
  <c r="M162" i="36"/>
  <c r="H162" i="36"/>
  <c r="C163" i="36"/>
  <c r="L163" i="36" s="1"/>
  <c r="D163" i="36"/>
  <c r="B163" i="36"/>
  <c r="G163" i="36" s="1"/>
  <c r="I163" i="36" s="1"/>
  <c r="GM5" i="1"/>
  <c r="GM4" i="1"/>
  <c r="GM3" i="1"/>
  <c r="GM2" i="1"/>
  <c r="B17" i="183"/>
  <c r="B16" i="183"/>
  <c r="B15" i="183"/>
  <c r="B14" i="183"/>
  <c r="B18" i="183" s="1"/>
  <c r="G1101" i="65"/>
  <c r="G1100" i="65"/>
  <c r="DG7" i="166" s="1"/>
  <c r="G1099" i="65"/>
  <c r="DG6" i="166" s="1"/>
  <c r="G1098" i="65"/>
  <c r="G1097" i="65"/>
  <c r="DG4" i="166" s="1"/>
  <c r="G1096" i="65"/>
  <c r="H1106" i="65" s="1"/>
  <c r="G1095" i="65"/>
  <c r="DG2" i="166" s="1"/>
  <c r="C162" i="36"/>
  <c r="H161" i="36" s="1"/>
  <c r="D162" i="36"/>
  <c r="L162" i="36" s="1"/>
  <c r="N162" i="36" s="1"/>
  <c r="B162" i="36"/>
  <c r="P162" i="36" s="1"/>
  <c r="GL5" i="1"/>
  <c r="GL4" i="1"/>
  <c r="GL3" i="1"/>
  <c r="GL2" i="1"/>
  <c r="B17" i="182"/>
  <c r="B16" i="182"/>
  <c r="B15" i="182"/>
  <c r="B14" i="182"/>
  <c r="B18" i="182" s="1"/>
  <c r="DF1" i="166"/>
  <c r="G1091" i="65"/>
  <c r="DF8" i="166" s="1"/>
  <c r="G1090" i="65"/>
  <c r="DF7" i="166" s="1"/>
  <c r="G1089" i="65"/>
  <c r="G1088" i="65"/>
  <c r="DF5" i="166" s="1"/>
  <c r="G1087" i="65"/>
  <c r="DF4" i="166" s="1"/>
  <c r="G1086" i="65"/>
  <c r="H1096" i="65" s="1"/>
  <c r="G1085" i="65"/>
  <c r="DF2" i="166" s="1"/>
  <c r="M160" i="36"/>
  <c r="L161" i="36"/>
  <c r="C161" i="36"/>
  <c r="H160" i="36" s="1"/>
  <c r="I160" i="36" s="1"/>
  <c r="D161" i="36"/>
  <c r="B161" i="36"/>
  <c r="P161" i="36" s="1"/>
  <c r="GK5" i="1"/>
  <c r="GJ5" i="1"/>
  <c r="GK4" i="1"/>
  <c r="GK3" i="1"/>
  <c r="GK2" i="1"/>
  <c r="B17" i="181"/>
  <c r="B16" i="181"/>
  <c r="B15" i="181"/>
  <c r="B14" i="181"/>
  <c r="DE1" i="166"/>
  <c r="G1081" i="65"/>
  <c r="G1080" i="65"/>
  <c r="G1079" i="65"/>
  <c r="DE6" i="166" s="1"/>
  <c r="G1078" i="65"/>
  <c r="G1077" i="65"/>
  <c r="DE4" i="166" s="1"/>
  <c r="G1076" i="65"/>
  <c r="DE3" i="166" s="1"/>
  <c r="G1075" i="65"/>
  <c r="DE2" i="166" s="1"/>
  <c r="B160" i="36"/>
  <c r="G160" i="36" s="1"/>
  <c r="H159" i="36"/>
  <c r="D160" i="36"/>
  <c r="C160" i="36"/>
  <c r="L160" i="36" s="1"/>
  <c r="N160" i="36" s="1"/>
  <c r="GJ4" i="1"/>
  <c r="GJ3" i="1"/>
  <c r="GJ2" i="1"/>
  <c r="B17" i="180"/>
  <c r="B16" i="180"/>
  <c r="B15" i="180"/>
  <c r="B14" i="180"/>
  <c r="B18" i="180" s="1"/>
  <c r="G1067" i="65"/>
  <c r="G1068" i="65"/>
  <c r="G1069" i="65"/>
  <c r="G1070" i="65"/>
  <c r="G1057" i="65"/>
  <c r="G1058" i="65"/>
  <c r="G1059" i="65"/>
  <c r="G1060" i="65"/>
  <c r="G1047" i="65"/>
  <c r="G1048" i="65"/>
  <c r="G1049" i="65"/>
  <c r="G1050" i="65"/>
  <c r="I1186" i="65" l="1"/>
  <c r="I1101" i="65"/>
  <c r="I1118" i="65"/>
  <c r="I1138" i="65"/>
  <c r="I1106" i="65"/>
  <c r="DP8" i="166"/>
  <c r="I1200" i="65"/>
  <c r="DN8" i="166"/>
  <c r="H1101" i="65"/>
  <c r="I1249" i="65"/>
  <c r="I1209" i="65"/>
  <c r="I1227" i="65"/>
  <c r="I1166" i="65"/>
  <c r="I1220" i="65"/>
  <c r="H1110" i="65"/>
  <c r="I1151" i="65"/>
  <c r="H1160" i="65"/>
  <c r="H1186" i="65"/>
  <c r="I1236" i="65"/>
  <c r="I1078" i="65"/>
  <c r="I1168" i="65"/>
  <c r="H1176" i="65"/>
  <c r="H1248" i="65"/>
  <c r="I1256" i="65"/>
  <c r="H1302" i="65"/>
  <c r="DG3" i="166"/>
  <c r="I1129" i="65"/>
  <c r="H1332" i="65"/>
  <c r="I1219" i="65"/>
  <c r="I1098" i="65"/>
  <c r="DK3" i="166"/>
  <c r="I1197" i="65"/>
  <c r="H1241" i="65"/>
  <c r="I1312" i="65"/>
  <c r="I1180" i="65"/>
  <c r="H1208" i="65"/>
  <c r="DE5" i="166"/>
  <c r="I1121" i="65"/>
  <c r="DJ6" i="166"/>
  <c r="I1161" i="65"/>
  <c r="I1201" i="65"/>
  <c r="I1322" i="65"/>
  <c r="H1121" i="65"/>
  <c r="DP3" i="166"/>
  <c r="I1207" i="65"/>
  <c r="I1265" i="65"/>
  <c r="I1269" i="65"/>
  <c r="DQ7" i="166"/>
  <c r="I1147" i="65"/>
  <c r="DI5" i="166"/>
  <c r="I1237" i="65"/>
  <c r="I1089" i="65"/>
  <c r="I1148" i="65"/>
  <c r="H1261" i="65"/>
  <c r="H1078" i="65"/>
  <c r="I1090" i="65"/>
  <c r="I1149" i="65"/>
  <c r="I1178" i="65"/>
  <c r="DQ4" i="166"/>
  <c r="DT6" i="166"/>
  <c r="DV3" i="166"/>
  <c r="DM7" i="166"/>
  <c r="I1177" i="65"/>
  <c r="H1268" i="65"/>
  <c r="DH3" i="166"/>
  <c r="H1141" i="65"/>
  <c r="H1150" i="65"/>
  <c r="I1179" i="65"/>
  <c r="I1195" i="65"/>
  <c r="DT5" i="166"/>
  <c r="I1270" i="65"/>
  <c r="I1196" i="65"/>
  <c r="DT4" i="166"/>
  <c r="I1240" i="65"/>
  <c r="DW7" i="166"/>
  <c r="I1109" i="65"/>
  <c r="I1130" i="65"/>
  <c r="I1241" i="65"/>
  <c r="H1247" i="65"/>
  <c r="H1227" i="65"/>
  <c r="DL8" i="166"/>
  <c r="I1221" i="65"/>
  <c r="DU8" i="166"/>
  <c r="H1218" i="65"/>
  <c r="G1242" i="65"/>
  <c r="H1246" i="65"/>
  <c r="DV5" i="166"/>
  <c r="I1261" i="65"/>
  <c r="H1271" i="65"/>
  <c r="I1282" i="65"/>
  <c r="I1116" i="65"/>
  <c r="H1187" i="65"/>
  <c r="DF6" i="166"/>
  <c r="DI3" i="166"/>
  <c r="I1125" i="65"/>
  <c r="I1189" i="65"/>
  <c r="DQ3" i="166"/>
  <c r="H1237" i="65"/>
  <c r="DW8" i="166"/>
  <c r="H1107" i="65"/>
  <c r="DJ3" i="166"/>
  <c r="DO5" i="166"/>
  <c r="H1211" i="65"/>
  <c r="DU3" i="166"/>
  <c r="H1249" i="65"/>
  <c r="I1079" i="65"/>
  <c r="I1087" i="65"/>
  <c r="DF3" i="166"/>
  <c r="I1107" i="65"/>
  <c r="DG8" i="166"/>
  <c r="H1119" i="65"/>
  <c r="H1127" i="65"/>
  <c r="H1137" i="65"/>
  <c r="DK5" i="166"/>
  <c r="DM8" i="166"/>
  <c r="I1181" i="65"/>
  <c r="I1191" i="65"/>
  <c r="DP4" i="166"/>
  <c r="I1198" i="65"/>
  <c r="I1226" i="65"/>
  <c r="DT3" i="166"/>
  <c r="I1250" i="65"/>
  <c r="G1262" i="65"/>
  <c r="H1272" i="65" s="1"/>
  <c r="DW6" i="166"/>
  <c r="DG5" i="166"/>
  <c r="H1116" i="65"/>
  <c r="I1135" i="65"/>
  <c r="I1188" i="65"/>
  <c r="DO6" i="166"/>
  <c r="I1210" i="65"/>
  <c r="I1248" i="65"/>
  <c r="H1117" i="65"/>
  <c r="I1126" i="65"/>
  <c r="DP5" i="166"/>
  <c r="H1197" i="65"/>
  <c r="I1211" i="65"/>
  <c r="H1221" i="65"/>
  <c r="DU4" i="166"/>
  <c r="I1086" i="65"/>
  <c r="I1096" i="65"/>
  <c r="H1126" i="65"/>
  <c r="DN5" i="166"/>
  <c r="H1180" i="65"/>
  <c r="I1190" i="65"/>
  <c r="I1238" i="65"/>
  <c r="I1080" i="65"/>
  <c r="I1088" i="65"/>
  <c r="H1097" i="65"/>
  <c r="I1108" i="65"/>
  <c r="I1120" i="65"/>
  <c r="I1128" i="65"/>
  <c r="I1137" i="65"/>
  <c r="DK4" i="166"/>
  <c r="I1156" i="65"/>
  <c r="H1167" i="65"/>
  <c r="DN3" i="166"/>
  <c r="H1191" i="65"/>
  <c r="DO4" i="166"/>
  <c r="I1199" i="65"/>
  <c r="DS8" i="166"/>
  <c r="I1239" i="65"/>
  <c r="I1251" i="65"/>
  <c r="DW5" i="166"/>
  <c r="H1265" i="65"/>
  <c r="H1138" i="65"/>
  <c r="H1157" i="65"/>
  <c r="DR7" i="166"/>
  <c r="H1090" i="65"/>
  <c r="DH7" i="166"/>
  <c r="I1131" i="65"/>
  <c r="DL6" i="166"/>
  <c r="I1157" i="65"/>
  <c r="DM4" i="166"/>
  <c r="I1169" i="65"/>
  <c r="I1205" i="65"/>
  <c r="DR6" i="166"/>
  <c r="I1215" i="65"/>
  <c r="DS5" i="166"/>
  <c r="I1228" i="65"/>
  <c r="I1257" i="65"/>
  <c r="I1091" i="65"/>
  <c r="H1099" i="65"/>
  <c r="I1111" i="65"/>
  <c r="DH6" i="166"/>
  <c r="H1131" i="65"/>
  <c r="I1139" i="65"/>
  <c r="DL5" i="166"/>
  <c r="I1158" i="65"/>
  <c r="DM3" i="166"/>
  <c r="I1170" i="65"/>
  <c r="I1206" i="65"/>
  <c r="DR5" i="166"/>
  <c r="I1216" i="65"/>
  <c r="I1229" i="65"/>
  <c r="H1245" i="65"/>
  <c r="I1258" i="65"/>
  <c r="H1115" i="65"/>
  <c r="H1077" i="65"/>
  <c r="DS7" i="166"/>
  <c r="H1098" i="65"/>
  <c r="H1109" i="65"/>
  <c r="DL7" i="166"/>
  <c r="DS6" i="166"/>
  <c r="I1271" i="65"/>
  <c r="DE8" i="166"/>
  <c r="H1091" i="65"/>
  <c r="I1099" i="65"/>
  <c r="H1111" i="65"/>
  <c r="DI8" i="166"/>
  <c r="I1140" i="65"/>
  <c r="I1146" i="65"/>
  <c r="DL4" i="166"/>
  <c r="I1159" i="65"/>
  <c r="I1171" i="65"/>
  <c r="G1182" i="65"/>
  <c r="I1185" i="65"/>
  <c r="DQ2" i="166"/>
  <c r="H1206" i="65"/>
  <c r="I1230" i="65"/>
  <c r="I1245" i="65"/>
  <c r="I1259" i="65"/>
  <c r="I1267" i="65"/>
  <c r="G1082" i="65"/>
  <c r="DE7" i="166"/>
  <c r="I1100" i="65"/>
  <c r="DI7" i="166"/>
  <c r="I1141" i="65"/>
  <c r="H1146" i="65"/>
  <c r="DL3" i="166"/>
  <c r="H1171" i="65"/>
  <c r="I1176" i="65"/>
  <c r="DO8" i="166"/>
  <c r="DQ8" i="166"/>
  <c r="H1207" i="65"/>
  <c r="DR3" i="166"/>
  <c r="I1217" i="65"/>
  <c r="I1231" i="65"/>
  <c r="DU2" i="166"/>
  <c r="I1246" i="65"/>
  <c r="DV6" i="166"/>
  <c r="I1260" i="65"/>
  <c r="I1302" i="65"/>
  <c r="H1267" i="65"/>
  <c r="I1266" i="65"/>
  <c r="HM1" i="1"/>
  <c r="HL10" i="1"/>
  <c r="GR6" i="1"/>
  <c r="GR12" i="1" s="1"/>
  <c r="GM6" i="1"/>
  <c r="GM12" i="1" s="1"/>
  <c r="GP6" i="1"/>
  <c r="GP12" i="1" s="1"/>
  <c r="GT6" i="1"/>
  <c r="GT12" i="1" s="1"/>
  <c r="I1292" i="65"/>
  <c r="H1292" i="65"/>
  <c r="HC6" i="1"/>
  <c r="HC12" i="1" s="1"/>
  <c r="B18" i="199"/>
  <c r="H1257" i="65"/>
  <c r="I1255" i="65"/>
  <c r="H1255" i="65"/>
  <c r="H1260" i="65"/>
  <c r="H1258" i="65"/>
  <c r="H1259" i="65"/>
  <c r="G1252" i="65"/>
  <c r="I1252" i="65" s="1"/>
  <c r="I1247" i="65"/>
  <c r="H1250" i="65"/>
  <c r="H1235" i="65"/>
  <c r="I1235" i="65"/>
  <c r="H1240" i="65"/>
  <c r="GZ6" i="1"/>
  <c r="GZ12" i="1" s="1"/>
  <c r="G1232" i="65"/>
  <c r="H1228" i="65"/>
  <c r="I1225" i="65"/>
  <c r="H1226" i="65"/>
  <c r="H1230" i="65"/>
  <c r="H1225" i="65"/>
  <c r="H1229" i="65"/>
  <c r="H1217" i="65"/>
  <c r="H1220" i="65"/>
  <c r="I1218" i="65"/>
  <c r="H1219" i="65"/>
  <c r="G1222" i="65"/>
  <c r="H1232" i="65" s="1"/>
  <c r="H1215" i="65"/>
  <c r="GN6" i="1"/>
  <c r="GN12" i="1" s="1"/>
  <c r="H1210" i="65"/>
  <c r="I1208" i="65"/>
  <c r="H1209" i="65"/>
  <c r="G1212" i="65"/>
  <c r="H1205" i="65"/>
  <c r="GW6" i="1"/>
  <c r="H1198" i="65"/>
  <c r="H1195" i="65"/>
  <c r="H1200" i="65"/>
  <c r="H1199" i="65"/>
  <c r="G1202" i="65"/>
  <c r="GV6" i="1"/>
  <c r="GV12" i="1" s="1"/>
  <c r="B18" i="192"/>
  <c r="H1188" i="65"/>
  <c r="H1189" i="65"/>
  <c r="G1192" i="65"/>
  <c r="I1187" i="65"/>
  <c r="H1190" i="65"/>
  <c r="H1185" i="65"/>
  <c r="GU6" i="1"/>
  <c r="GU12" i="1" s="1"/>
  <c r="B18" i="191"/>
  <c r="H1179" i="65"/>
  <c r="H1177" i="65"/>
  <c r="H1175" i="65"/>
  <c r="I1175" i="65"/>
  <c r="H1178" i="65"/>
  <c r="G1172" i="65"/>
  <c r="H1170" i="65"/>
  <c r="H1165" i="65"/>
  <c r="I1165" i="65"/>
  <c r="H1168" i="65"/>
  <c r="H1169" i="65"/>
  <c r="GS6" i="1"/>
  <c r="GS12" i="1" s="1"/>
  <c r="G1162" i="65"/>
  <c r="H1155" i="65"/>
  <c r="H1158" i="65"/>
  <c r="I1155" i="65"/>
  <c r="H1159" i="65"/>
  <c r="H1147" i="65"/>
  <c r="G1152" i="65"/>
  <c r="H1145" i="65"/>
  <c r="I1150" i="65"/>
  <c r="I1145" i="65"/>
  <c r="H1148" i="65"/>
  <c r="H1149" i="65"/>
  <c r="N165" i="36"/>
  <c r="P164" i="36"/>
  <c r="G162" i="36"/>
  <c r="I162" i="36" s="1"/>
  <c r="M159" i="36"/>
  <c r="N163" i="36"/>
  <c r="G165" i="36"/>
  <c r="H165" i="36"/>
  <c r="I165" i="36" s="1"/>
  <c r="G161" i="36"/>
  <c r="I161" i="36" s="1"/>
  <c r="M161" i="36"/>
  <c r="N161" i="36" s="1"/>
  <c r="P163" i="36"/>
  <c r="I166" i="36"/>
  <c r="GQ6" i="1"/>
  <c r="GQ12" i="1" s="1"/>
  <c r="B18" i="187"/>
  <c r="H1140" i="65"/>
  <c r="H1135" i="65"/>
  <c r="G1142" i="65"/>
  <c r="H1139" i="65"/>
  <c r="H1128" i="65"/>
  <c r="G1132" i="65"/>
  <c r="I1132" i="65" s="1"/>
  <c r="H1130" i="65"/>
  <c r="I1127" i="65"/>
  <c r="H1125" i="65"/>
  <c r="H1129" i="65"/>
  <c r="I1119" i="65"/>
  <c r="G1122" i="65"/>
  <c r="I1115" i="65"/>
  <c r="I1117" i="65"/>
  <c r="H1120" i="65"/>
  <c r="H1118" i="65"/>
  <c r="B18" i="184"/>
  <c r="G1112" i="65"/>
  <c r="H1105" i="65"/>
  <c r="I1110" i="65"/>
  <c r="H1108" i="65"/>
  <c r="I1105" i="65"/>
  <c r="G1102" i="65"/>
  <c r="H1100" i="65"/>
  <c r="I1097" i="65"/>
  <c r="H1095" i="65"/>
  <c r="I1095" i="65"/>
  <c r="GL6" i="1"/>
  <c r="GL12" i="1" s="1"/>
  <c r="H1086" i="65"/>
  <c r="H1087" i="65"/>
  <c r="G1092" i="65"/>
  <c r="H1088" i="65"/>
  <c r="H1085" i="65"/>
  <c r="I1085" i="65"/>
  <c r="H1089" i="65"/>
  <c r="B18" i="181"/>
  <c r="H1079" i="65"/>
  <c r="I1077" i="65"/>
  <c r="H1080" i="65"/>
  <c r="C1" i="179"/>
  <c r="D1" i="179" s="1"/>
  <c r="E1" i="179" s="1"/>
  <c r="F1" i="179" s="1"/>
  <c r="G1" i="179" s="1"/>
  <c r="H1" i="179" s="1"/>
  <c r="I1" i="179" s="1"/>
  <c r="J1" i="179" s="1"/>
  <c r="K1" i="179" s="1"/>
  <c r="L1" i="179" s="1"/>
  <c r="DC4" i="166"/>
  <c r="DD4" i="166"/>
  <c r="DC5" i="166"/>
  <c r="DD5" i="166"/>
  <c r="DC6" i="166"/>
  <c r="DD6" i="166"/>
  <c r="DC7" i="166"/>
  <c r="DD7" i="166"/>
  <c r="DD1" i="166"/>
  <c r="DC1" i="166"/>
  <c r="G1071" i="65"/>
  <c r="H1081" i="65" s="1"/>
  <c r="G1066" i="65"/>
  <c r="H1076" i="65" s="1"/>
  <c r="G1065" i="65"/>
  <c r="I1075" i="65" s="1"/>
  <c r="G1061" i="65"/>
  <c r="DC8" i="166" s="1"/>
  <c r="G1056" i="65"/>
  <c r="DC3" i="166" s="1"/>
  <c r="G1055" i="65"/>
  <c r="DC2" i="166" s="1"/>
  <c r="C159" i="36"/>
  <c r="L159" i="36" s="1"/>
  <c r="N159" i="36" s="1"/>
  <c r="D159" i="36"/>
  <c r="P159" i="36" s="1"/>
  <c r="B159" i="36"/>
  <c r="P160" i="36" s="1"/>
  <c r="GI5" i="1"/>
  <c r="GI4" i="1"/>
  <c r="GI3" i="1"/>
  <c r="GI2" i="1"/>
  <c r="B17" i="178"/>
  <c r="B16" i="178"/>
  <c r="B15" i="178"/>
  <c r="B14" i="178"/>
  <c r="C158" i="36"/>
  <c r="L158" i="36" s="1"/>
  <c r="D158" i="36"/>
  <c r="M157" i="36" s="1"/>
  <c r="N157" i="36" s="1"/>
  <c r="B158" i="36"/>
  <c r="G158" i="36" s="1"/>
  <c r="GH3" i="1"/>
  <c r="GH4" i="1"/>
  <c r="GH5" i="1"/>
  <c r="GH2" i="1"/>
  <c r="B17" i="176"/>
  <c r="B16" i="176"/>
  <c r="B15" i="176"/>
  <c r="B14" i="176"/>
  <c r="DB4" i="166"/>
  <c r="DB5" i="166"/>
  <c r="DB6" i="166"/>
  <c r="DB7" i="166"/>
  <c r="DB1" i="166"/>
  <c r="G1051" i="65"/>
  <c r="G1046" i="65"/>
  <c r="H1056" i="65" s="1"/>
  <c r="G1045" i="65"/>
  <c r="DB2" i="166" s="1"/>
  <c r="M156" i="36"/>
  <c r="H156" i="36"/>
  <c r="C157" i="36"/>
  <c r="L157" i="36" s="1"/>
  <c r="D157" i="36"/>
  <c r="B157" i="36"/>
  <c r="P157" i="36" s="1"/>
  <c r="GG3" i="1"/>
  <c r="GG4" i="1"/>
  <c r="GG5" i="1"/>
  <c r="GG2" i="1"/>
  <c r="B17" i="175"/>
  <c r="B16" i="175"/>
  <c r="B15" i="175"/>
  <c r="B14" i="175"/>
  <c r="B18" i="175" s="1"/>
  <c r="DA1" i="166"/>
  <c r="G1041" i="65"/>
  <c r="H1051" i="65" s="1"/>
  <c r="G1040" i="65"/>
  <c r="I1050" i="65" s="1"/>
  <c r="G1039" i="65"/>
  <c r="I1049" i="65" s="1"/>
  <c r="G1038" i="65"/>
  <c r="G1037" i="65"/>
  <c r="I1047" i="65" s="1"/>
  <c r="H1036" i="65"/>
  <c r="G1036" i="65"/>
  <c r="G1035" i="65"/>
  <c r="H155" i="36"/>
  <c r="G156" i="36"/>
  <c r="I156" i="36" s="1"/>
  <c r="D156" i="36"/>
  <c r="M155" i="36" s="1"/>
  <c r="D155" i="36"/>
  <c r="C156" i="36"/>
  <c r="B156" i="36"/>
  <c r="P156" i="36" s="1"/>
  <c r="GF3" i="1"/>
  <c r="GF4" i="1"/>
  <c r="GF5" i="1"/>
  <c r="GF2" i="1"/>
  <c r="B17" i="173"/>
  <c r="B16" i="173"/>
  <c r="B15" i="173"/>
  <c r="B14" i="173"/>
  <c r="B18" i="173" s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CZ1" i="166"/>
  <c r="G1031" i="65"/>
  <c r="G1030" i="65"/>
  <c r="CZ7" i="166" s="1"/>
  <c r="G1029" i="65"/>
  <c r="G1028" i="65"/>
  <c r="G1027" i="65"/>
  <c r="G1026" i="65"/>
  <c r="CZ3" i="166" s="1"/>
  <c r="G1025" i="65"/>
  <c r="CZ2" i="166" s="1"/>
  <c r="C155" i="36"/>
  <c r="H154" i="36" s="1"/>
  <c r="B155" i="36"/>
  <c r="G155" i="36" s="1"/>
  <c r="I155" i="36" s="1"/>
  <c r="GE3" i="1"/>
  <c r="GE4" i="1"/>
  <c r="GE5" i="1"/>
  <c r="GE2" i="1"/>
  <c r="B17" i="172"/>
  <c r="B16" i="172"/>
  <c r="B15" i="172"/>
  <c r="B14" i="172"/>
  <c r="HX33" i="1"/>
  <c r="CY1" i="166"/>
  <c r="H1021" i="65"/>
  <c r="G1021" i="65"/>
  <c r="CY8" i="166" s="1"/>
  <c r="G1020" i="65"/>
  <c r="G1019" i="65"/>
  <c r="G1018" i="65"/>
  <c r="G1017" i="65"/>
  <c r="CY4" i="166" s="1"/>
  <c r="G1016" i="65"/>
  <c r="H1026" i="65" s="1"/>
  <c r="G1015" i="65"/>
  <c r="CY2" i="166" s="1"/>
  <c r="M153" i="36"/>
  <c r="C154" i="36"/>
  <c r="H153" i="36" s="1"/>
  <c r="I153" i="36" s="1"/>
  <c r="D154" i="36"/>
  <c r="B154" i="36"/>
  <c r="P154" i="36" s="1"/>
  <c r="GD3" i="1"/>
  <c r="GD5" i="1"/>
  <c r="GD2" i="1"/>
  <c r="B17" i="171"/>
  <c r="B16" i="171"/>
  <c r="B15" i="171"/>
  <c r="B14" i="171"/>
  <c r="B18" i="171" s="1"/>
  <c r="CX1" i="166"/>
  <c r="CW1" i="166"/>
  <c r="G1011" i="65"/>
  <c r="CX8" i="166" s="1"/>
  <c r="G1010" i="65"/>
  <c r="G1009" i="65"/>
  <c r="G1008" i="65"/>
  <c r="G1007" i="65"/>
  <c r="G1006" i="65"/>
  <c r="I1006" i="65" s="1"/>
  <c r="G1005" i="65"/>
  <c r="M152" i="36"/>
  <c r="H152" i="36"/>
  <c r="G153" i="36"/>
  <c r="C153" i="36"/>
  <c r="L153" i="36" s="1"/>
  <c r="D153" i="36"/>
  <c r="B153" i="36"/>
  <c r="P153" i="36" s="1"/>
  <c r="GC3" i="1"/>
  <c r="GC5" i="1"/>
  <c r="GC2" i="1"/>
  <c r="GB2" i="1"/>
  <c r="B17" i="170"/>
  <c r="B16" i="170"/>
  <c r="B15" i="170"/>
  <c r="B14" i="170"/>
  <c r="G1001" i="65"/>
  <c r="G1000" i="65"/>
  <c r="CW7" i="166" s="1"/>
  <c r="G999" i="65"/>
  <c r="CW6" i="166" s="1"/>
  <c r="G998" i="65"/>
  <c r="CW5" i="166" s="1"/>
  <c r="G997" i="65"/>
  <c r="CW4" i="166" s="1"/>
  <c r="G996" i="65"/>
  <c r="H1006" i="65" s="1"/>
  <c r="G995" i="65"/>
  <c r="CW2" i="166" s="1"/>
  <c r="GB3" i="1"/>
  <c r="L152" i="36"/>
  <c r="G152" i="36"/>
  <c r="I152" i="36" s="1"/>
  <c r="C152" i="36"/>
  <c r="H151" i="36" s="1"/>
  <c r="D152" i="36"/>
  <c r="B152" i="36"/>
  <c r="GB5" i="1"/>
  <c r="IH12" i="1"/>
  <c r="B17" i="169"/>
  <c r="B16" i="169"/>
  <c r="B15" i="169"/>
  <c r="B14" i="169"/>
  <c r="I1092" i="65" l="1"/>
  <c r="H1049" i="65"/>
  <c r="I1031" i="65"/>
  <c r="I1051" i="65"/>
  <c r="H1152" i="65"/>
  <c r="I1018" i="65"/>
  <c r="I1019" i="65"/>
  <c r="DB8" i="166"/>
  <c r="I1020" i="65"/>
  <c r="I1192" i="65"/>
  <c r="I1021" i="65"/>
  <c r="H1037" i="65"/>
  <c r="H1061" i="65"/>
  <c r="H1262" i="65"/>
  <c r="H1132" i="65"/>
  <c r="H1182" i="65"/>
  <c r="H1252" i="65"/>
  <c r="I1152" i="65"/>
  <c r="I1010" i="65"/>
  <c r="I1029" i="65"/>
  <c r="I1027" i="65"/>
  <c r="I1102" i="65"/>
  <c r="H1192" i="65"/>
  <c r="G1012" i="65"/>
  <c r="I1012" i="65" s="1"/>
  <c r="I1232" i="65"/>
  <c r="H1007" i="65"/>
  <c r="I1036" i="65"/>
  <c r="I1112" i="65"/>
  <c r="I1038" i="65"/>
  <c r="DD8" i="166"/>
  <c r="I1008" i="65"/>
  <c r="H1009" i="65"/>
  <c r="CY3" i="166"/>
  <c r="H1162" i="65"/>
  <c r="I1182" i="65"/>
  <c r="DD3" i="166"/>
  <c r="H1172" i="65"/>
  <c r="DB3" i="166"/>
  <c r="H1122" i="65"/>
  <c r="I1081" i="65"/>
  <c r="I1048" i="65"/>
  <c r="CZ4" i="166"/>
  <c r="CW8" i="166"/>
  <c r="I1028" i="65"/>
  <c r="H1046" i="65"/>
  <c r="I1122" i="65"/>
  <c r="I1162" i="65"/>
  <c r="H1020" i="65"/>
  <c r="I1262" i="65"/>
  <c r="H1030" i="65"/>
  <c r="CW3" i="166"/>
  <c r="I1242" i="65"/>
  <c r="CX2" i="166"/>
  <c r="H1031" i="65"/>
  <c r="H1038" i="65"/>
  <c r="I1030" i="65"/>
  <c r="I1011" i="65"/>
  <c r="CX6" i="166"/>
  <c r="CY6" i="166"/>
  <c r="CZ8" i="166"/>
  <c r="I1041" i="65"/>
  <c r="I1172" i="65"/>
  <c r="I1272" i="65"/>
  <c r="I1040" i="65"/>
  <c r="H1011" i="65"/>
  <c r="CX5" i="166"/>
  <c r="CY5" i="166"/>
  <c r="H1041" i="65"/>
  <c r="I1076" i="65"/>
  <c r="H1242" i="65"/>
  <c r="H1039" i="65"/>
  <c r="DD2" i="166"/>
  <c r="H1112" i="65"/>
  <c r="H1010" i="65"/>
  <c r="CX7" i="166"/>
  <c r="CY7" i="166"/>
  <c r="I1015" i="65"/>
  <c r="H1025" i="65"/>
  <c r="CX4" i="166"/>
  <c r="H1016" i="65"/>
  <c r="I1026" i="65"/>
  <c r="CZ6" i="166"/>
  <c r="H1102" i="65"/>
  <c r="H1075" i="65"/>
  <c r="CX3" i="166"/>
  <c r="H1017" i="65"/>
  <c r="CZ5" i="166"/>
  <c r="DA6" i="166"/>
  <c r="I1045" i="65"/>
  <c r="HN1" i="1"/>
  <c r="HM10" i="1"/>
  <c r="GW12" i="1"/>
  <c r="HY35" i="1"/>
  <c r="HZ35" i="1" s="1"/>
  <c r="I1222" i="65"/>
  <c r="H1222" i="65"/>
  <c r="I1212" i="65"/>
  <c r="H1212" i="65"/>
  <c r="I1202" i="65"/>
  <c r="H1202" i="65"/>
  <c r="P155" i="36"/>
  <c r="P158" i="36"/>
  <c r="M158" i="36"/>
  <c r="N158" i="36" s="1"/>
  <c r="G154" i="36"/>
  <c r="I154" i="36" s="1"/>
  <c r="G157" i="36"/>
  <c r="N152" i="36"/>
  <c r="L154" i="36"/>
  <c r="M151" i="36"/>
  <c r="N153" i="36"/>
  <c r="G159" i="36"/>
  <c r="I159" i="36" s="1"/>
  <c r="L156" i="36"/>
  <c r="N156" i="36" s="1"/>
  <c r="H158" i="36"/>
  <c r="I158" i="36" s="1"/>
  <c r="I1142" i="65"/>
  <c r="H1142" i="65"/>
  <c r="H1092" i="65"/>
  <c r="B6" i="179"/>
  <c r="C6" i="179"/>
  <c r="E6" i="179"/>
  <c r="D6" i="179"/>
  <c r="I1056" i="65"/>
  <c r="H1066" i="65"/>
  <c r="I1061" i="65"/>
  <c r="H1071" i="65"/>
  <c r="I1066" i="65"/>
  <c r="I1071" i="65"/>
  <c r="G1072" i="65"/>
  <c r="I1065" i="65"/>
  <c r="H1065" i="65"/>
  <c r="I1067" i="65"/>
  <c r="H1067" i="65"/>
  <c r="I1068" i="65"/>
  <c r="H1068" i="65"/>
  <c r="I1069" i="65"/>
  <c r="H1069" i="65"/>
  <c r="I1070" i="65"/>
  <c r="H1070" i="65"/>
  <c r="G1062" i="65"/>
  <c r="I1055" i="65"/>
  <c r="H1055" i="65"/>
  <c r="I1057" i="65"/>
  <c r="H1057" i="65"/>
  <c r="I1058" i="65"/>
  <c r="H1058" i="65"/>
  <c r="I1059" i="65"/>
  <c r="H1059" i="65"/>
  <c r="I1060" i="65"/>
  <c r="H1060" i="65"/>
  <c r="B18" i="178"/>
  <c r="H157" i="36"/>
  <c r="I157" i="36" s="1"/>
  <c r="B18" i="176"/>
  <c r="G1052" i="65"/>
  <c r="H1045" i="65"/>
  <c r="H1047" i="65"/>
  <c r="H1048" i="65"/>
  <c r="H1050" i="65"/>
  <c r="I1046" i="65"/>
  <c r="DA8" i="166"/>
  <c r="DA4" i="166"/>
  <c r="G1042" i="65"/>
  <c r="H1040" i="65"/>
  <c r="DA2" i="166"/>
  <c r="DA7" i="166"/>
  <c r="DA5" i="166"/>
  <c r="DA3" i="166"/>
  <c r="I1035" i="65"/>
  <c r="I1037" i="65"/>
  <c r="I1039" i="65"/>
  <c r="H1035" i="65"/>
  <c r="L155" i="36"/>
  <c r="N155" i="36" s="1"/>
  <c r="M154" i="36"/>
  <c r="N154" i="36" s="1"/>
  <c r="H1027" i="65"/>
  <c r="H1029" i="65"/>
  <c r="I1025" i="65"/>
  <c r="H1028" i="65"/>
  <c r="G1032" i="65"/>
  <c r="B18" i="172"/>
  <c r="H1019" i="65"/>
  <c r="I1016" i="65"/>
  <c r="H1018" i="65"/>
  <c r="G1022" i="65"/>
  <c r="I1022" i="65" s="1"/>
  <c r="H1015" i="65"/>
  <c r="I1017" i="65"/>
  <c r="H1008" i="65"/>
  <c r="I1005" i="65"/>
  <c r="I1009" i="65"/>
  <c r="I1007" i="65"/>
  <c r="H1005" i="65"/>
  <c r="B18" i="170"/>
  <c r="G1002" i="65"/>
  <c r="H1012" i="65" s="1"/>
  <c r="B18" i="169"/>
  <c r="CV1" i="166"/>
  <c r="G991" i="65"/>
  <c r="CV8" i="166" s="1"/>
  <c r="G990" i="65"/>
  <c r="G989" i="65"/>
  <c r="G988" i="65"/>
  <c r="G987" i="65"/>
  <c r="H997" i="65" s="1"/>
  <c r="G986" i="65"/>
  <c r="I996" i="65" s="1"/>
  <c r="G985" i="65"/>
  <c r="C151" i="36"/>
  <c r="D151" i="36"/>
  <c r="M150" i="36" s="1"/>
  <c r="B151" i="36"/>
  <c r="P152" i="36" s="1"/>
  <c r="GA3" i="1"/>
  <c r="GA5" i="1"/>
  <c r="GA2" i="1"/>
  <c r="B17" i="168"/>
  <c r="B16" i="168"/>
  <c r="B15" i="168"/>
  <c r="B14" i="168"/>
  <c r="CU1" i="166"/>
  <c r="G981" i="65"/>
  <c r="H991" i="65" s="1"/>
  <c r="G980" i="65"/>
  <c r="G979" i="65"/>
  <c r="CU6" i="166" s="1"/>
  <c r="G978" i="65"/>
  <c r="CU5" i="166" s="1"/>
  <c r="G977" i="65"/>
  <c r="CU4" i="166" s="1"/>
  <c r="G976" i="65"/>
  <c r="CU3" i="166" s="1"/>
  <c r="G975" i="65"/>
  <c r="H149" i="36"/>
  <c r="G150" i="36"/>
  <c r="C150" i="36"/>
  <c r="L150" i="36" s="1"/>
  <c r="D150" i="36"/>
  <c r="M149" i="36" s="1"/>
  <c r="B150" i="36"/>
  <c r="FZ3" i="1"/>
  <c r="FZ5" i="1"/>
  <c r="FZ2" i="1"/>
  <c r="B17" i="167"/>
  <c r="B16" i="167"/>
  <c r="B15" i="167"/>
  <c r="B14" i="167"/>
  <c r="CT1" i="166"/>
  <c r="CS1" i="166"/>
  <c r="CR1" i="166"/>
  <c r="CQ1" i="166"/>
  <c r="CP1" i="166"/>
  <c r="CO1" i="166"/>
  <c r="CN1" i="166"/>
  <c r="CM1" i="166"/>
  <c r="CL1" i="166"/>
  <c r="CK1" i="166"/>
  <c r="CJ1" i="166"/>
  <c r="CI1" i="166"/>
  <c r="CH1" i="166"/>
  <c r="CG1" i="166"/>
  <c r="CF1" i="166"/>
  <c r="CE1" i="166"/>
  <c r="CD1" i="166"/>
  <c r="CC1" i="166"/>
  <c r="CB1" i="166"/>
  <c r="CA1" i="166"/>
  <c r="BZ1" i="166"/>
  <c r="BY1" i="166"/>
  <c r="BX1" i="166"/>
  <c r="BW1" i="166"/>
  <c r="BV1" i="166"/>
  <c r="BU1" i="166"/>
  <c r="BT1" i="166"/>
  <c r="BS1" i="166"/>
  <c r="BR1" i="166"/>
  <c r="BQ1" i="166"/>
  <c r="BP1" i="166"/>
  <c r="BO1" i="166"/>
  <c r="BN1" i="166"/>
  <c r="BM1" i="166"/>
  <c r="BL1" i="166"/>
  <c r="BK1" i="166"/>
  <c r="BJ1" i="166"/>
  <c r="BI1" i="166"/>
  <c r="BH1" i="166"/>
  <c r="BG1" i="166"/>
  <c r="BF1" i="166"/>
  <c r="BE1" i="166"/>
  <c r="BD1" i="166"/>
  <c r="BC1" i="166"/>
  <c r="BB1" i="166"/>
  <c r="BA1" i="166"/>
  <c r="AZ1" i="166"/>
  <c r="AY1" i="166"/>
  <c r="AX1" i="166"/>
  <c r="AW1" i="166"/>
  <c r="AV1" i="166"/>
  <c r="AU1" i="166"/>
  <c r="AT1" i="166"/>
  <c r="AS1" i="166"/>
  <c r="AR1" i="166"/>
  <c r="AQ1" i="166"/>
  <c r="AP1" i="166"/>
  <c r="AO1" i="166"/>
  <c r="AN1" i="166"/>
  <c r="AM1" i="166"/>
  <c r="AL1" i="166"/>
  <c r="AK1" i="166"/>
  <c r="AJ1" i="166"/>
  <c r="AI1" i="166"/>
  <c r="AH1" i="166"/>
  <c r="AG1" i="166"/>
  <c r="AF1" i="166"/>
  <c r="AE1" i="166"/>
  <c r="AD1" i="166"/>
  <c r="AC1" i="166"/>
  <c r="AB1" i="166"/>
  <c r="AA1" i="166"/>
  <c r="Z1" i="166"/>
  <c r="Y1" i="166"/>
  <c r="X1" i="166"/>
  <c r="W1" i="166"/>
  <c r="V1" i="166"/>
  <c r="U1" i="166"/>
  <c r="T1" i="166"/>
  <c r="S1" i="166"/>
  <c r="R1" i="166"/>
  <c r="Q1" i="166"/>
  <c r="P1" i="166"/>
  <c r="O1" i="166"/>
  <c r="N1" i="166"/>
  <c r="M1" i="166"/>
  <c r="L1" i="166"/>
  <c r="K1" i="166"/>
  <c r="J1" i="166"/>
  <c r="I1" i="166"/>
  <c r="H1" i="166"/>
  <c r="G1" i="166"/>
  <c r="F1" i="166"/>
  <c r="E1" i="166"/>
  <c r="D1" i="166"/>
  <c r="C1" i="166"/>
  <c r="B1" i="166"/>
  <c r="G971" i="65"/>
  <c r="H981" i="65" s="1"/>
  <c r="G970" i="65"/>
  <c r="CT7" i="166" s="1"/>
  <c r="G969" i="65"/>
  <c r="CT6" i="166" s="1"/>
  <c r="G968" i="65"/>
  <c r="CT5" i="166" s="1"/>
  <c r="G967" i="65"/>
  <c r="CT4" i="166" s="1"/>
  <c r="G966" i="65"/>
  <c r="CT3" i="166" s="1"/>
  <c r="G965" i="65"/>
  <c r="CT2" i="166" s="1"/>
  <c r="D147" i="36"/>
  <c r="C149" i="36"/>
  <c r="D149" i="36"/>
  <c r="M148" i="36" s="1"/>
  <c r="B149" i="36"/>
  <c r="FY3" i="1"/>
  <c r="FY5" i="1"/>
  <c r="FY2" i="1"/>
  <c r="B17" i="165"/>
  <c r="B16" i="165"/>
  <c r="B15" i="165"/>
  <c r="B14" i="165"/>
  <c r="B18" i="165" s="1"/>
  <c r="GB6" i="1"/>
  <c r="GB12" i="1" s="1"/>
  <c r="GC6" i="1"/>
  <c r="GC12" i="1" s="1"/>
  <c r="GD6" i="1"/>
  <c r="GD12" i="1" s="1"/>
  <c r="GE6" i="1"/>
  <c r="GE12" i="1" s="1"/>
  <c r="GF6" i="1"/>
  <c r="GF12" i="1" s="1"/>
  <c r="GG6" i="1"/>
  <c r="GG12" i="1" s="1"/>
  <c r="GH6" i="1"/>
  <c r="GH12" i="1" s="1"/>
  <c r="GI6" i="1"/>
  <c r="GI12" i="1" s="1"/>
  <c r="GJ6" i="1"/>
  <c r="GJ12" i="1" s="1"/>
  <c r="GK6" i="1"/>
  <c r="GK12" i="1" s="1"/>
  <c r="G961" i="65"/>
  <c r="CS8" i="166" s="1"/>
  <c r="G960" i="65"/>
  <c r="CS7" i="166" s="1"/>
  <c r="G959" i="65"/>
  <c r="H969" i="65" s="1"/>
  <c r="G958" i="65"/>
  <c r="CS5" i="166" s="1"/>
  <c r="G957" i="65"/>
  <c r="CS4" i="166" s="1"/>
  <c r="G956" i="65"/>
  <c r="CS3" i="166" s="1"/>
  <c r="G955" i="65"/>
  <c r="CS2" i="166" s="1"/>
  <c r="C148" i="36"/>
  <c r="H147" i="36" s="1"/>
  <c r="D148" i="36"/>
  <c r="M147" i="36" s="1"/>
  <c r="B148" i="36"/>
  <c r="G148" i="36" s="1"/>
  <c r="FX3" i="1"/>
  <c r="FX5" i="1"/>
  <c r="FX2" i="1"/>
  <c r="B17" i="164"/>
  <c r="B16" i="164"/>
  <c r="B15" i="164"/>
  <c r="B14" i="164"/>
  <c r="I980" i="65" l="1"/>
  <c r="H1042" i="65"/>
  <c r="CS6" i="166"/>
  <c r="CT8" i="166"/>
  <c r="I977" i="65"/>
  <c r="H1022" i="65"/>
  <c r="H996" i="65"/>
  <c r="CU7" i="166"/>
  <c r="I985" i="65"/>
  <c r="CV2" i="166"/>
  <c r="H995" i="65"/>
  <c r="H986" i="65"/>
  <c r="I995" i="65"/>
  <c r="I989" i="65"/>
  <c r="CV6" i="166"/>
  <c r="H999" i="65"/>
  <c r="I999" i="65"/>
  <c r="H988" i="65"/>
  <c r="H998" i="65"/>
  <c r="I998" i="65"/>
  <c r="I1042" i="65"/>
  <c r="I976" i="65"/>
  <c r="I987" i="65"/>
  <c r="I997" i="65"/>
  <c r="I975" i="65"/>
  <c r="CU2" i="166"/>
  <c r="CV5" i="166"/>
  <c r="CV4" i="166"/>
  <c r="CV3" i="166"/>
  <c r="I978" i="65"/>
  <c r="I990" i="65"/>
  <c r="I1000" i="65"/>
  <c r="H1000" i="65"/>
  <c r="I967" i="65"/>
  <c r="H979" i="65"/>
  <c r="I991" i="65"/>
  <c r="H1001" i="65"/>
  <c r="I981" i="65"/>
  <c r="I1082" i="65"/>
  <c r="H1082" i="65"/>
  <c r="I969" i="65"/>
  <c r="CV7" i="166"/>
  <c r="I1052" i="65"/>
  <c r="CU8" i="166"/>
  <c r="I1001" i="65"/>
  <c r="HN10" i="1"/>
  <c r="HO1" i="1"/>
  <c r="FY6" i="1"/>
  <c r="L149" i="36"/>
  <c r="N149" i="36" s="1"/>
  <c r="P149" i="36"/>
  <c r="P150" i="36"/>
  <c r="G151" i="36"/>
  <c r="I151" i="36" s="1"/>
  <c r="L151" i="36"/>
  <c r="N151" i="36" s="1"/>
  <c r="N150" i="36"/>
  <c r="G149" i="36"/>
  <c r="I149" i="36" s="1"/>
  <c r="H148" i="36"/>
  <c r="I148" i="36" s="1"/>
  <c r="HY34" i="1"/>
  <c r="HZ34" i="1" s="1"/>
  <c r="HY33" i="1"/>
  <c r="HZ33" i="1" s="1"/>
  <c r="FZ6" i="1"/>
  <c r="FZ12" i="1" s="1"/>
  <c r="H1052" i="65"/>
  <c r="F6" i="179"/>
  <c r="I1072" i="65"/>
  <c r="H1072" i="65"/>
  <c r="I1062" i="65"/>
  <c r="H1062" i="65"/>
  <c r="FY12" i="1"/>
  <c r="I1032" i="65"/>
  <c r="H1032" i="65"/>
  <c r="I988" i="65"/>
  <c r="H985" i="65"/>
  <c r="I986" i="65"/>
  <c r="H989" i="65"/>
  <c r="G992" i="65"/>
  <c r="H1002" i="65" s="1"/>
  <c r="H987" i="65"/>
  <c r="H990" i="65"/>
  <c r="H150" i="36"/>
  <c r="I150" i="36" s="1"/>
  <c r="P151" i="36"/>
  <c r="GA6" i="1"/>
  <c r="GA12" i="1" s="1"/>
  <c r="B18" i="168"/>
  <c r="I979" i="65"/>
  <c r="H976" i="65"/>
  <c r="G982" i="65"/>
  <c r="H982" i="65"/>
  <c r="H977" i="65"/>
  <c r="H980" i="65"/>
  <c r="H975" i="65"/>
  <c r="H978" i="65"/>
  <c r="L148" i="36"/>
  <c r="N148" i="36" s="1"/>
  <c r="B18" i="167"/>
  <c r="I970" i="65"/>
  <c r="I971" i="65"/>
  <c r="H965" i="65"/>
  <c r="H971" i="65"/>
  <c r="I968" i="65"/>
  <c r="H966" i="65"/>
  <c r="G972" i="65"/>
  <c r="I965" i="65"/>
  <c r="I966" i="65"/>
  <c r="H967" i="65"/>
  <c r="H970" i="65"/>
  <c r="H968" i="65"/>
  <c r="G962" i="65"/>
  <c r="B18" i="164"/>
  <c r="I982" i="65" l="1"/>
  <c r="I1002" i="65"/>
  <c r="H972" i="65"/>
  <c r="HO10" i="1"/>
  <c r="HP1" i="1"/>
  <c r="G6" i="179"/>
  <c r="I992" i="65"/>
  <c r="H992" i="65"/>
  <c r="I972" i="65"/>
  <c r="G951" i="65"/>
  <c r="CR8" i="166" s="1"/>
  <c r="G950" i="65"/>
  <c r="CR7" i="166" s="1"/>
  <c r="G949" i="65"/>
  <c r="CR6" i="166" s="1"/>
  <c r="G948" i="65"/>
  <c r="CR5" i="166" s="1"/>
  <c r="G947" i="65"/>
  <c r="CR4" i="166" s="1"/>
  <c r="G946" i="65"/>
  <c r="CR3" i="166" s="1"/>
  <c r="G945" i="65"/>
  <c r="CR2" i="166" s="1"/>
  <c r="G941" i="65"/>
  <c r="CQ8" i="166" s="1"/>
  <c r="G940" i="65"/>
  <c r="CQ7" i="166" s="1"/>
  <c r="G939" i="65"/>
  <c r="CQ6" i="166" s="1"/>
  <c r="G938" i="65"/>
  <c r="CQ5" i="166" s="1"/>
  <c r="G937" i="65"/>
  <c r="CQ4" i="166" s="1"/>
  <c r="G936" i="65"/>
  <c r="CQ3" i="166" s="1"/>
  <c r="G935" i="65"/>
  <c r="CQ2" i="166" s="1"/>
  <c r="M146" i="36"/>
  <c r="G147" i="36"/>
  <c r="I147" i="36" s="1"/>
  <c r="C147" i="36"/>
  <c r="L147" i="36" s="1"/>
  <c r="N147" i="36" s="1"/>
  <c r="B147" i="36"/>
  <c r="FW3" i="1"/>
  <c r="FW5" i="1"/>
  <c r="FW2" i="1"/>
  <c r="B17" i="163"/>
  <c r="B16" i="163"/>
  <c r="B15" i="163"/>
  <c r="B14" i="163"/>
  <c r="J13" i="162"/>
  <c r="J12" i="162"/>
  <c r="J21" i="162"/>
  <c r="J8" i="162"/>
  <c r="J2" i="162"/>
  <c r="C146" i="36"/>
  <c r="L146" i="36" s="1"/>
  <c r="D146" i="36"/>
  <c r="M145" i="36" s="1"/>
  <c r="B146" i="36"/>
  <c r="FV3" i="1"/>
  <c r="FV5" i="1"/>
  <c r="FV2" i="1"/>
  <c r="B17" i="161"/>
  <c r="B16" i="161"/>
  <c r="B15" i="161"/>
  <c r="B14" i="161"/>
  <c r="B18" i="161" s="1"/>
  <c r="D9" i="155"/>
  <c r="E9" i="156"/>
  <c r="F9" i="157"/>
  <c r="F9" i="158"/>
  <c r="D144" i="36" s="1"/>
  <c r="H930" i="65"/>
  <c r="G931" i="65"/>
  <c r="CP8" i="166" s="1"/>
  <c r="G930" i="65"/>
  <c r="CP7" i="166" s="1"/>
  <c r="G929" i="65"/>
  <c r="CP6" i="166" s="1"/>
  <c r="G928" i="65"/>
  <c r="CP5" i="166" s="1"/>
  <c r="G927" i="65"/>
  <c r="CP4" i="166" s="1"/>
  <c r="G926" i="65"/>
  <c r="CP3" i="166" s="1"/>
  <c r="G925" i="65"/>
  <c r="CP2" i="166" s="1"/>
  <c r="G921" i="65"/>
  <c r="CO8" i="166" s="1"/>
  <c r="G920" i="65"/>
  <c r="CO7" i="166" s="1"/>
  <c r="G919" i="65"/>
  <c r="CO6" i="166" s="1"/>
  <c r="G918" i="65"/>
  <c r="CO5" i="166" s="1"/>
  <c r="G917" i="65"/>
  <c r="CO4" i="166" s="1"/>
  <c r="G916" i="65"/>
  <c r="CO3" i="166" s="1"/>
  <c r="G915" i="65"/>
  <c r="CO2" i="166" s="1"/>
  <c r="G911" i="65"/>
  <c r="CN8" i="166" s="1"/>
  <c r="G910" i="65"/>
  <c r="CN7" i="166" s="1"/>
  <c r="G909" i="65"/>
  <c r="CN6" i="166" s="1"/>
  <c r="G908" i="65"/>
  <c r="CN5" i="166" s="1"/>
  <c r="G907" i="65"/>
  <c r="CN4" i="166" s="1"/>
  <c r="G906" i="65"/>
  <c r="CN3" i="166" s="1"/>
  <c r="G905" i="65"/>
  <c r="CN2" i="166" s="1"/>
  <c r="G901" i="65"/>
  <c r="CM8" i="166" s="1"/>
  <c r="G900" i="65"/>
  <c r="CM7" i="166" s="1"/>
  <c r="G899" i="65"/>
  <c r="CM6" i="166" s="1"/>
  <c r="G898" i="65"/>
  <c r="CM5" i="166" s="1"/>
  <c r="G897" i="65"/>
  <c r="CM4" i="166" s="1"/>
  <c r="G896" i="65"/>
  <c r="CM3" i="166" s="1"/>
  <c r="G895" i="65"/>
  <c r="CM2" i="166" s="1"/>
  <c r="C145" i="36"/>
  <c r="H144" i="36" s="1"/>
  <c r="D145" i="36"/>
  <c r="M144" i="36" s="1"/>
  <c r="B145" i="36"/>
  <c r="G145" i="36" s="1"/>
  <c r="FU3" i="1"/>
  <c r="FU5" i="1"/>
  <c r="FU2" i="1"/>
  <c r="B17" i="160"/>
  <c r="B15" i="160"/>
  <c r="B14" i="160"/>
  <c r="B16" i="160"/>
  <c r="C144" i="36"/>
  <c r="B144" i="36"/>
  <c r="G144" i="36" s="1"/>
  <c r="B17" i="158"/>
  <c r="FT5" i="1" s="1"/>
  <c r="B15" i="158"/>
  <c r="FT3" i="1" s="1"/>
  <c r="B14" i="158"/>
  <c r="H925" i="65" l="1"/>
  <c r="H929" i="65"/>
  <c r="H911" i="65"/>
  <c r="H937" i="65"/>
  <c r="H909" i="65"/>
  <c r="H910" i="65"/>
  <c r="I937" i="65"/>
  <c r="H915" i="65"/>
  <c r="H919" i="65"/>
  <c r="H920" i="65"/>
  <c r="H921" i="65"/>
  <c r="HP10" i="1"/>
  <c r="HQ1" i="1"/>
  <c r="I144" i="36"/>
  <c r="H6" i="179"/>
  <c r="H145" i="36"/>
  <c r="I145" i="36" s="1"/>
  <c r="H146" i="36"/>
  <c r="L145" i="36"/>
  <c r="N145" i="36" s="1"/>
  <c r="P146" i="36"/>
  <c r="N146" i="36"/>
  <c r="G146" i="36"/>
  <c r="I146" i="36" s="1"/>
  <c r="P148" i="36"/>
  <c r="P147" i="36"/>
  <c r="I906" i="65"/>
  <c r="H931" i="65"/>
  <c r="I938" i="65"/>
  <c r="H948" i="65"/>
  <c r="H958" i="65"/>
  <c r="I958" i="65"/>
  <c r="H957" i="65"/>
  <c r="I957" i="65"/>
  <c r="I939" i="65"/>
  <c r="I949" i="65"/>
  <c r="I959" i="65"/>
  <c r="H959" i="65"/>
  <c r="H956" i="65"/>
  <c r="I956" i="65"/>
  <c r="I940" i="65"/>
  <c r="I960" i="65"/>
  <c r="H960" i="65"/>
  <c r="H906" i="65"/>
  <c r="H916" i="65"/>
  <c r="H926" i="65"/>
  <c r="I941" i="65"/>
  <c r="H961" i="65"/>
  <c r="I961" i="65"/>
  <c r="H907" i="65"/>
  <c r="H917" i="65"/>
  <c r="H927" i="65"/>
  <c r="I936" i="65"/>
  <c r="H941" i="65"/>
  <c r="H905" i="65"/>
  <c r="I916" i="65"/>
  <c r="H908" i="65"/>
  <c r="H918" i="65"/>
  <c r="H928" i="65"/>
  <c r="I945" i="65"/>
  <c r="H955" i="65"/>
  <c r="I955" i="65"/>
  <c r="I947" i="65"/>
  <c r="G952" i="65"/>
  <c r="I948" i="65"/>
  <c r="H938" i="65"/>
  <c r="G942" i="65"/>
  <c r="I942" i="65" s="1"/>
  <c r="I946" i="65"/>
  <c r="H950" i="65"/>
  <c r="H947" i="65"/>
  <c r="I950" i="65"/>
  <c r="H936" i="65"/>
  <c r="H940" i="65"/>
  <c r="I951" i="65"/>
  <c r="H951" i="65"/>
  <c r="H945" i="65"/>
  <c r="H946" i="65"/>
  <c r="H949" i="65"/>
  <c r="H935" i="65"/>
  <c r="I935" i="65"/>
  <c r="H939" i="65"/>
  <c r="B18" i="163"/>
  <c r="M143" i="36"/>
  <c r="P145" i="36"/>
  <c r="B16" i="158"/>
  <c r="I918" i="65"/>
  <c r="I907" i="65"/>
  <c r="I917" i="65"/>
  <c r="I929" i="65"/>
  <c r="I909" i="65"/>
  <c r="I930" i="65"/>
  <c r="I921" i="65"/>
  <c r="I908" i="65"/>
  <c r="I910" i="65"/>
  <c r="I931" i="65"/>
  <c r="I911" i="65"/>
  <c r="I920" i="65"/>
  <c r="I926" i="65"/>
  <c r="I915" i="65"/>
  <c r="I919" i="65"/>
  <c r="I928" i="65"/>
  <c r="I927" i="65"/>
  <c r="G902" i="65"/>
  <c r="I905" i="65"/>
  <c r="I925" i="65"/>
  <c r="G932" i="65"/>
  <c r="G922" i="65"/>
  <c r="H932" i="65" s="1"/>
  <c r="G912" i="65"/>
  <c r="B18" i="158"/>
  <c r="L144" i="36"/>
  <c r="N144" i="36" s="1"/>
  <c r="FT2" i="1"/>
  <c r="H143" i="36"/>
  <c r="I143" i="36" s="1"/>
  <c r="B18" i="160"/>
  <c r="C143" i="36"/>
  <c r="H142" i="36" s="1"/>
  <c r="D143" i="36"/>
  <c r="B143" i="36"/>
  <c r="G143" i="36" s="1"/>
  <c r="FR3" i="1"/>
  <c r="FR5" i="1"/>
  <c r="B17" i="157"/>
  <c r="FS5" i="1" s="1"/>
  <c r="B15" i="157"/>
  <c r="FS3" i="1" s="1"/>
  <c r="B14" i="157"/>
  <c r="FS2" i="1" s="1"/>
  <c r="B16" i="157"/>
  <c r="D142" i="36"/>
  <c r="M141" i="36" s="1"/>
  <c r="B142" i="36"/>
  <c r="C142" i="36"/>
  <c r="FR2" i="1"/>
  <c r="B17" i="156"/>
  <c r="B16" i="156"/>
  <c r="B15" i="156"/>
  <c r="B14" i="156"/>
  <c r="I952" i="65" l="1"/>
  <c r="H912" i="65"/>
  <c r="HQ10" i="1"/>
  <c r="HR1" i="1"/>
  <c r="I6" i="179"/>
  <c r="H962" i="65"/>
  <c r="I962" i="65"/>
  <c r="I912" i="65"/>
  <c r="H922" i="65"/>
  <c r="H952" i="65"/>
  <c r="H942" i="65"/>
  <c r="I142" i="36"/>
  <c r="I932" i="65"/>
  <c r="I922" i="65"/>
  <c r="L143" i="36"/>
  <c r="N143" i="36" s="1"/>
  <c r="P144" i="36"/>
  <c r="M142" i="36"/>
  <c r="P143" i="36"/>
  <c r="B18" i="157"/>
  <c r="L142" i="36"/>
  <c r="H141" i="36"/>
  <c r="G142" i="36"/>
  <c r="B18" i="156"/>
  <c r="HX32" i="1"/>
  <c r="HX31" i="1"/>
  <c r="HR10" i="1" l="1"/>
  <c r="HS1" i="1"/>
  <c r="J6" i="179"/>
  <c r="N142" i="36"/>
  <c r="HS10" i="1" l="1"/>
  <c r="HT1" i="1"/>
  <c r="L6" i="179"/>
  <c r="K6" i="179"/>
  <c r="C141" i="36"/>
  <c r="D141" i="36"/>
  <c r="M140" i="36" s="1"/>
  <c r="HT10" i="1" l="1"/>
  <c r="HU1" i="1"/>
  <c r="HU10" i="1" s="1"/>
  <c r="L141" i="36"/>
  <c r="N141" i="36" s="1"/>
  <c r="H140" i="36"/>
  <c r="G891" i="65"/>
  <c r="CL8" i="166" s="1"/>
  <c r="G890" i="65"/>
  <c r="CL7" i="166" s="1"/>
  <c r="G889" i="65"/>
  <c r="CL6" i="166" s="1"/>
  <c r="G888" i="65"/>
  <c r="CL5" i="166" s="1"/>
  <c r="G887" i="65"/>
  <c r="CL4" i="166" s="1"/>
  <c r="G886" i="65"/>
  <c r="CL3" i="166" s="1"/>
  <c r="G885" i="65"/>
  <c r="CL2" i="166" s="1"/>
  <c r="B141" i="36"/>
  <c r="I895" i="65" l="1"/>
  <c r="H895" i="65"/>
  <c r="H896" i="65"/>
  <c r="H897" i="65"/>
  <c r="H898" i="65"/>
  <c r="H899" i="65"/>
  <c r="H900" i="65"/>
  <c r="H901" i="65"/>
  <c r="I896" i="65"/>
  <c r="I897" i="65"/>
  <c r="I898" i="65"/>
  <c r="I899" i="65"/>
  <c r="I900" i="65"/>
  <c r="I901" i="65"/>
  <c r="P142" i="36"/>
  <c r="G141" i="36"/>
  <c r="I141" i="36" s="1"/>
  <c r="G892" i="65"/>
  <c r="H902" i="65" s="1"/>
  <c r="I902" i="65" l="1"/>
  <c r="B17" i="155"/>
  <c r="FQ5" i="1" s="1"/>
  <c r="B16" i="155"/>
  <c r="B15" i="155"/>
  <c r="FQ3" i="1" s="1"/>
  <c r="B14" i="155"/>
  <c r="FQ2" i="1" s="1"/>
  <c r="FQ6" i="1" l="1"/>
  <c r="FQ12" i="1" s="1"/>
  <c r="B18" i="155"/>
  <c r="G881" i="65" l="1"/>
  <c r="CK8" i="166" s="1"/>
  <c r="G880" i="65"/>
  <c r="CK7" i="166" s="1"/>
  <c r="G879" i="65"/>
  <c r="CK6" i="166" s="1"/>
  <c r="G878" i="65"/>
  <c r="CK5" i="166" s="1"/>
  <c r="G877" i="65"/>
  <c r="CK4" i="166" s="1"/>
  <c r="G876" i="65"/>
  <c r="CK3" i="166" s="1"/>
  <c r="G875" i="65"/>
  <c r="CK2" i="166" s="1"/>
  <c r="M139" i="36"/>
  <c r="C140" i="36"/>
  <c r="H139" i="36" s="1"/>
  <c r="D140" i="36"/>
  <c r="B140" i="36"/>
  <c r="FP3" i="1"/>
  <c r="FP4" i="1"/>
  <c r="FP5" i="1"/>
  <c r="B17" i="154"/>
  <c r="B16" i="154"/>
  <c r="B15" i="154"/>
  <c r="B14" i="154"/>
  <c r="FP2" i="1" s="1"/>
  <c r="P141" i="36" l="1"/>
  <c r="H890" i="65"/>
  <c r="H885" i="65"/>
  <c r="H886" i="65"/>
  <c r="H887" i="65"/>
  <c r="H888" i="65"/>
  <c r="H889" i="65"/>
  <c r="H891" i="65"/>
  <c r="G140" i="36"/>
  <c r="I140" i="36" s="1"/>
  <c r="L140" i="36"/>
  <c r="N140" i="36" s="1"/>
  <c r="I887" i="65"/>
  <c r="I886" i="65"/>
  <c r="I890" i="65"/>
  <c r="I889" i="65"/>
  <c r="I891" i="65"/>
  <c r="I888" i="65"/>
  <c r="G882" i="65"/>
  <c r="H892" i="65" s="1"/>
  <c r="I885" i="65"/>
  <c r="B18" i="154"/>
  <c r="C139" i="36"/>
  <c r="D139" i="36"/>
  <c r="M138" i="36" s="1"/>
  <c r="B139" i="36"/>
  <c r="P140" i="36" s="1"/>
  <c r="G871" i="65"/>
  <c r="CJ8" i="166" s="1"/>
  <c r="G870" i="65"/>
  <c r="CJ7" i="166" s="1"/>
  <c r="G869" i="65"/>
  <c r="CJ6" i="166" s="1"/>
  <c r="G868" i="65"/>
  <c r="CJ5" i="166" s="1"/>
  <c r="G867" i="65"/>
  <c r="CJ4" i="166" s="1"/>
  <c r="G866" i="65"/>
  <c r="CJ3" i="166" s="1"/>
  <c r="G865" i="65"/>
  <c r="CJ2" i="166" s="1"/>
  <c r="B17" i="153"/>
  <c r="FO5" i="1" s="1"/>
  <c r="B16" i="153"/>
  <c r="FO4" i="1" s="1"/>
  <c r="B15" i="153"/>
  <c r="FO3" i="1" s="1"/>
  <c r="B14" i="153"/>
  <c r="FO2" i="1" s="1"/>
  <c r="I880" i="65" l="1"/>
  <c r="H878" i="65"/>
  <c r="H879" i="65"/>
  <c r="H881" i="65"/>
  <c r="I876" i="65"/>
  <c r="I877" i="65"/>
  <c r="I878" i="65"/>
  <c r="H877" i="65"/>
  <c r="H876" i="65"/>
  <c r="L139" i="36"/>
  <c r="N139" i="36" s="1"/>
  <c r="H875" i="65"/>
  <c r="I879" i="65"/>
  <c r="H880" i="65"/>
  <c r="I875" i="65"/>
  <c r="I892" i="65"/>
  <c r="I881" i="65"/>
  <c r="G139" i="36"/>
  <c r="I139" i="36" s="1"/>
  <c r="H138" i="36"/>
  <c r="G872" i="65"/>
  <c r="B18" i="153"/>
  <c r="H882" i="65" l="1"/>
  <c r="I882" i="65"/>
  <c r="G861" i="65"/>
  <c r="CI8" i="166" s="1"/>
  <c r="G860" i="65"/>
  <c r="CI7" i="166" s="1"/>
  <c r="G859" i="65"/>
  <c r="CI6" i="166" s="1"/>
  <c r="G858" i="65"/>
  <c r="CI5" i="166" s="1"/>
  <c r="G857" i="65"/>
  <c r="CI4" i="166" s="1"/>
  <c r="G856" i="65"/>
  <c r="CI3" i="166" s="1"/>
  <c r="G855" i="65"/>
  <c r="CI2" i="166" s="1"/>
  <c r="C138" i="36"/>
  <c r="D138" i="36"/>
  <c r="M137" i="36" s="1"/>
  <c r="B138" i="36"/>
  <c r="G138" i="36" s="1"/>
  <c r="I138" i="36" s="1"/>
  <c r="L138" i="36" l="1"/>
  <c r="N138" i="36" s="1"/>
  <c r="H865" i="65"/>
  <c r="I865" i="65"/>
  <c r="I867" i="65"/>
  <c r="H867" i="65"/>
  <c r="I869" i="65"/>
  <c r="H869" i="65"/>
  <c r="H871" i="65"/>
  <c r="I871" i="65"/>
  <c r="P139" i="36"/>
  <c r="H137" i="36"/>
  <c r="H866" i="65"/>
  <c r="I866" i="65"/>
  <c r="H868" i="65"/>
  <c r="I868" i="65"/>
  <c r="H870" i="65"/>
  <c r="I870" i="65"/>
  <c r="G862" i="65"/>
  <c r="B14" i="152"/>
  <c r="FN2" i="1" s="1"/>
  <c r="B15" i="152"/>
  <c r="FN3" i="1" s="1"/>
  <c r="B16" i="152"/>
  <c r="FN4" i="1" s="1"/>
  <c r="B17" i="152"/>
  <c r="FN5" i="1" s="1"/>
  <c r="H872" i="65" l="1"/>
  <c r="I872" i="65"/>
  <c r="B18" i="152"/>
  <c r="FN6" i="1"/>
  <c r="FN12" i="1" s="1"/>
  <c r="FO6" i="1"/>
  <c r="FO12" i="1" s="1"/>
  <c r="FP6" i="1"/>
  <c r="FR6" i="1"/>
  <c r="FR12" i="1" s="1"/>
  <c r="FS6" i="1"/>
  <c r="FS12" i="1" s="1"/>
  <c r="FT6" i="1"/>
  <c r="FT12" i="1" s="1"/>
  <c r="FU6" i="1"/>
  <c r="FU12" i="1" s="1"/>
  <c r="FV6" i="1"/>
  <c r="FW6" i="1"/>
  <c r="FW12" i="1" s="1"/>
  <c r="FX6" i="1"/>
  <c r="FX12" i="1" s="1"/>
  <c r="FN1" i="1"/>
  <c r="FN10" i="1" s="1"/>
  <c r="FP12" i="1" l="1"/>
  <c r="J7" i="162"/>
  <c r="J9" i="162" s="1"/>
  <c r="J11" i="162"/>
  <c r="J14" i="162" s="1"/>
  <c r="FV12" i="1"/>
  <c r="FO1" i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l="1"/>
  <c r="FY10" i="1"/>
  <c r="FO10" i="1"/>
  <c r="FP10" i="1"/>
  <c r="J16" i="162"/>
  <c r="FT10" i="1"/>
  <c r="FS10" i="1"/>
  <c r="FU10" i="1"/>
  <c r="FW10" i="1"/>
  <c r="FR10" i="1"/>
  <c r="FV10" i="1"/>
  <c r="FQ10" i="1"/>
  <c r="FX10" i="1"/>
  <c r="D137" i="36"/>
  <c r="M136" i="36" s="1"/>
  <c r="B137" i="36"/>
  <c r="C137" i="36"/>
  <c r="L137" i="36" s="1"/>
  <c r="N137" i="36" s="1"/>
  <c r="GA1" i="1" l="1"/>
  <c r="FZ10" i="1"/>
  <c r="P138" i="36"/>
  <c r="H136" i="36"/>
  <c r="G137" i="36"/>
  <c r="I137" i="36" s="1"/>
  <c r="G851" i="65"/>
  <c r="CH8" i="166" s="1"/>
  <c r="G850" i="65"/>
  <c r="CH7" i="166" s="1"/>
  <c r="G849" i="65"/>
  <c r="CH6" i="166" s="1"/>
  <c r="G848" i="65"/>
  <c r="CH5" i="166" s="1"/>
  <c r="G847" i="65"/>
  <c r="CH4" i="166" s="1"/>
  <c r="G846" i="65"/>
  <c r="CH3" i="166" s="1"/>
  <c r="G845" i="65"/>
  <c r="CH2" i="166" s="1"/>
  <c r="B17" i="151"/>
  <c r="FM5" i="1" s="1"/>
  <c r="B16" i="151"/>
  <c r="FM4" i="1" s="1"/>
  <c r="B15" i="151"/>
  <c r="FM3" i="1" s="1"/>
  <c r="B14" i="151"/>
  <c r="FM2" i="1" s="1"/>
  <c r="GB1" i="1" l="1"/>
  <c r="GA10" i="1"/>
  <c r="I856" i="65"/>
  <c r="H856" i="65"/>
  <c r="I857" i="65"/>
  <c r="H857" i="65"/>
  <c r="H859" i="65"/>
  <c r="I859" i="65"/>
  <c r="I855" i="65"/>
  <c r="H855" i="65"/>
  <c r="I858" i="65"/>
  <c r="H858" i="65"/>
  <c r="I860" i="65"/>
  <c r="H860" i="65"/>
  <c r="I861" i="65"/>
  <c r="H861" i="65"/>
  <c r="G852" i="65"/>
  <c r="B18" i="151"/>
  <c r="GC1" i="1" l="1"/>
  <c r="GB10" i="1"/>
  <c r="I862" i="65"/>
  <c r="H862" i="65"/>
  <c r="G841" i="65"/>
  <c r="CG8" i="166" s="1"/>
  <c r="G840" i="65"/>
  <c r="CG7" i="166" s="1"/>
  <c r="G839" i="65"/>
  <c r="CG6" i="166" s="1"/>
  <c r="G838" i="65"/>
  <c r="CG5" i="166" s="1"/>
  <c r="G837" i="65"/>
  <c r="CG4" i="166" s="1"/>
  <c r="G836" i="65"/>
  <c r="CG3" i="166" s="1"/>
  <c r="G835" i="65"/>
  <c r="CG2" i="166" s="1"/>
  <c r="C136" i="36"/>
  <c r="D136" i="36"/>
  <c r="M135" i="36" s="1"/>
  <c r="B136" i="36"/>
  <c r="B17" i="150"/>
  <c r="FL5" i="1" s="1"/>
  <c r="B16" i="150"/>
  <c r="FL4" i="1" s="1"/>
  <c r="B15" i="150"/>
  <c r="FL3" i="1" s="1"/>
  <c r="B14" i="150"/>
  <c r="FL2" i="1" s="1"/>
  <c r="GD1" i="1" l="1"/>
  <c r="GC10" i="1"/>
  <c r="L136" i="36"/>
  <c r="N136" i="36" s="1"/>
  <c r="P137" i="36"/>
  <c r="H846" i="65"/>
  <c r="I846" i="65"/>
  <c r="I848" i="65"/>
  <c r="H848" i="65"/>
  <c r="I850" i="65"/>
  <c r="H850" i="65"/>
  <c r="G136" i="36"/>
  <c r="I136" i="36" s="1"/>
  <c r="H135" i="36"/>
  <c r="I845" i="65"/>
  <c r="H845" i="65"/>
  <c r="H847" i="65"/>
  <c r="I847" i="65"/>
  <c r="I849" i="65"/>
  <c r="H849" i="65"/>
  <c r="H851" i="65"/>
  <c r="I851" i="65"/>
  <c r="G842" i="65"/>
  <c r="B18" i="150"/>
  <c r="G826" i="65"/>
  <c r="CF3" i="166" s="1"/>
  <c r="G827" i="65"/>
  <c r="CF4" i="166" s="1"/>
  <c r="G828" i="65"/>
  <c r="CF5" i="166" s="1"/>
  <c r="G829" i="65"/>
  <c r="CF6" i="166" s="1"/>
  <c r="G830" i="65"/>
  <c r="CF7" i="166" s="1"/>
  <c r="G831" i="65"/>
  <c r="CF8" i="166" s="1"/>
  <c r="G825" i="65"/>
  <c r="CF2" i="166" s="1"/>
  <c r="I837" i="65" l="1"/>
  <c r="H841" i="65"/>
  <c r="H835" i="65"/>
  <c r="H840" i="65"/>
  <c r="H839" i="65"/>
  <c r="H838" i="65"/>
  <c r="GE1" i="1"/>
  <c r="GF1" i="1" s="1"/>
  <c r="GD10" i="1"/>
  <c r="I852" i="65"/>
  <c r="H852" i="65"/>
  <c r="I835" i="65"/>
  <c r="I839" i="65"/>
  <c r="G832" i="65"/>
  <c r="I842" i="65" s="1"/>
  <c r="H837" i="65"/>
  <c r="I841" i="65"/>
  <c r="I836" i="65"/>
  <c r="H836" i="65"/>
  <c r="I840" i="65"/>
  <c r="I838" i="65"/>
  <c r="C135" i="36"/>
  <c r="D135" i="36"/>
  <c r="M134" i="36" s="1"/>
  <c r="B135" i="36"/>
  <c r="B17" i="149"/>
  <c r="FK5" i="1" s="1"/>
  <c r="B16" i="149"/>
  <c r="FK4" i="1" s="1"/>
  <c r="B15" i="149"/>
  <c r="FK3" i="1" s="1"/>
  <c r="B14" i="149"/>
  <c r="GE10" i="1" l="1"/>
  <c r="L135" i="36"/>
  <c r="N135" i="36" s="1"/>
  <c r="B18" i="149"/>
  <c r="G135" i="36"/>
  <c r="I135" i="36" s="1"/>
  <c r="FK2" i="1"/>
  <c r="P136" i="36"/>
  <c r="H134" i="36"/>
  <c r="H842" i="65"/>
  <c r="G821" i="65"/>
  <c r="CE8" i="166" s="1"/>
  <c r="G820" i="65"/>
  <c r="CE7" i="166" s="1"/>
  <c r="G819" i="65"/>
  <c r="CE6" i="166" s="1"/>
  <c r="G818" i="65"/>
  <c r="CE5" i="166" s="1"/>
  <c r="G817" i="65"/>
  <c r="CE4" i="166" s="1"/>
  <c r="G816" i="65"/>
  <c r="CE3" i="166" s="1"/>
  <c r="G815" i="65"/>
  <c r="CE2" i="166" s="1"/>
  <c r="C134" i="36"/>
  <c r="D134" i="36"/>
  <c r="M133" i="36" s="1"/>
  <c r="B134" i="36"/>
  <c r="G134" i="36" s="1"/>
  <c r="B17" i="148"/>
  <c r="FJ5" i="1" s="1"/>
  <c r="B16" i="148"/>
  <c r="FJ4" i="1" s="1"/>
  <c r="B15" i="148"/>
  <c r="FJ3" i="1" s="1"/>
  <c r="B14" i="148"/>
  <c r="I134" i="36" l="1"/>
  <c r="GG1" i="1"/>
  <c r="GF10" i="1"/>
  <c r="P135" i="36"/>
  <c r="B18" i="148"/>
  <c r="L134" i="36"/>
  <c r="N134" i="36" s="1"/>
  <c r="H133" i="36"/>
  <c r="H828" i="65"/>
  <c r="I828" i="65"/>
  <c r="H829" i="65"/>
  <c r="I829" i="65"/>
  <c r="I830" i="65"/>
  <c r="H830" i="65"/>
  <c r="H831" i="65"/>
  <c r="I831" i="65"/>
  <c r="H827" i="65"/>
  <c r="I827" i="65"/>
  <c r="H826" i="65"/>
  <c r="I826" i="65"/>
  <c r="H825" i="65"/>
  <c r="I825" i="65"/>
  <c r="G822" i="65"/>
  <c r="FJ2" i="1"/>
  <c r="C133" i="36"/>
  <c r="D133" i="36"/>
  <c r="M132" i="36" s="1"/>
  <c r="B133" i="36"/>
  <c r="G811" i="65"/>
  <c r="CD8" i="166" s="1"/>
  <c r="G810" i="65"/>
  <c r="CD7" i="166" s="1"/>
  <c r="G809" i="65"/>
  <c r="CD6" i="166" s="1"/>
  <c r="G808" i="65"/>
  <c r="CD5" i="166" s="1"/>
  <c r="G807" i="65"/>
  <c r="CD4" i="166" s="1"/>
  <c r="G806" i="65"/>
  <c r="CD3" i="166" s="1"/>
  <c r="G805" i="65"/>
  <c r="CD2" i="166" s="1"/>
  <c r="B17" i="146"/>
  <c r="FI5" i="1" s="1"/>
  <c r="B16" i="146"/>
  <c r="FI4" i="1" s="1"/>
  <c r="B15" i="146"/>
  <c r="FI3" i="1" s="1"/>
  <c r="B14" i="146"/>
  <c r="FI2" i="1" s="1"/>
  <c r="P134" i="36" l="1"/>
  <c r="GH1" i="1"/>
  <c r="GG10" i="1"/>
  <c r="G133" i="36"/>
  <c r="I133" i="36" s="1"/>
  <c r="L133" i="36"/>
  <c r="N133" i="36" s="1"/>
  <c r="H132" i="36"/>
  <c r="I815" i="65"/>
  <c r="I819" i="65"/>
  <c r="H820" i="65"/>
  <c r="H832" i="65"/>
  <c r="I832" i="65"/>
  <c r="H816" i="65"/>
  <c r="H821" i="65"/>
  <c r="I821" i="65"/>
  <c r="H818" i="65"/>
  <c r="I816" i="65"/>
  <c r="H819" i="65"/>
  <c r="I820" i="65"/>
  <c r="H815" i="65"/>
  <c r="H817" i="65"/>
  <c r="I817" i="65"/>
  <c r="I818" i="65"/>
  <c r="G812" i="65"/>
  <c r="H822" i="65" s="1"/>
  <c r="B18" i="146"/>
  <c r="GI1" i="1" l="1"/>
  <c r="GH10" i="1"/>
  <c r="I822" i="65"/>
  <c r="G801" i="65"/>
  <c r="CC8" i="166" s="1"/>
  <c r="G800" i="65"/>
  <c r="CC7" i="166" s="1"/>
  <c r="G799" i="65"/>
  <c r="CC6" i="166" s="1"/>
  <c r="G798" i="65"/>
  <c r="CC5" i="166" s="1"/>
  <c r="G797" i="65"/>
  <c r="CC4" i="166" s="1"/>
  <c r="G796" i="65"/>
  <c r="CC3" i="166" s="1"/>
  <c r="G795" i="65"/>
  <c r="CC2" i="166" s="1"/>
  <c r="C132" i="36"/>
  <c r="H131" i="36" s="1"/>
  <c r="D132" i="36"/>
  <c r="M131" i="36" s="1"/>
  <c r="B132" i="36"/>
  <c r="P133" i="36" s="1"/>
  <c r="B17" i="145"/>
  <c r="FH5" i="1" s="1"/>
  <c r="B16" i="145"/>
  <c r="FH4" i="1" s="1"/>
  <c r="B15" i="145"/>
  <c r="FH3" i="1" s="1"/>
  <c r="B14" i="145"/>
  <c r="FH2" i="1" s="1"/>
  <c r="GJ1" i="1" l="1"/>
  <c r="GI10" i="1"/>
  <c r="L132" i="36"/>
  <c r="N132" i="36" s="1"/>
  <c r="G132" i="36"/>
  <c r="I132" i="36" s="1"/>
  <c r="I805" i="65"/>
  <c r="H805" i="65"/>
  <c r="H807" i="65"/>
  <c r="I807" i="65"/>
  <c r="H806" i="65"/>
  <c r="I806" i="65"/>
  <c r="I808" i="65"/>
  <c r="H808" i="65"/>
  <c r="H811" i="65"/>
  <c r="I811" i="65"/>
  <c r="H809" i="65"/>
  <c r="I809" i="65"/>
  <c r="H810" i="65"/>
  <c r="I810" i="65"/>
  <c r="G802" i="65"/>
  <c r="B18" i="145"/>
  <c r="GK1" i="1" l="1"/>
  <c r="GJ10" i="1"/>
  <c r="H812" i="65"/>
  <c r="I812" i="65"/>
  <c r="G791" i="65"/>
  <c r="CB8" i="166" s="1"/>
  <c r="G790" i="65"/>
  <c r="CB7" i="166" s="1"/>
  <c r="G789" i="65"/>
  <c r="CB6" i="166" s="1"/>
  <c r="G788" i="65"/>
  <c r="CB5" i="166" s="1"/>
  <c r="G787" i="65"/>
  <c r="CB4" i="166" s="1"/>
  <c r="G786" i="65"/>
  <c r="CB3" i="166" s="1"/>
  <c r="G785" i="65"/>
  <c r="CB2" i="166" s="1"/>
  <c r="C130" i="36"/>
  <c r="C131" i="36"/>
  <c r="H130" i="36" s="1"/>
  <c r="D131" i="36"/>
  <c r="M130" i="36" s="1"/>
  <c r="B131" i="36"/>
  <c r="B17" i="144"/>
  <c r="FG5" i="1" s="1"/>
  <c r="B16" i="144"/>
  <c r="FG4" i="1" s="1"/>
  <c r="B15" i="144"/>
  <c r="FG3" i="1" s="1"/>
  <c r="B14" i="144"/>
  <c r="GK10" i="1" l="1"/>
  <c r="GL1" i="1"/>
  <c r="L131" i="36"/>
  <c r="N131" i="36" s="1"/>
  <c r="B18" i="144"/>
  <c r="FG2" i="1"/>
  <c r="P132" i="36"/>
  <c r="G131" i="36"/>
  <c r="I131" i="36" s="1"/>
  <c r="H796" i="65"/>
  <c r="I796" i="65"/>
  <c r="H799" i="65"/>
  <c r="I799" i="65"/>
  <c r="I800" i="65"/>
  <c r="H800" i="65"/>
  <c r="H797" i="65"/>
  <c r="I797" i="65"/>
  <c r="H801" i="65"/>
  <c r="I801" i="65"/>
  <c r="I795" i="65"/>
  <c r="H795" i="65"/>
  <c r="I798" i="65"/>
  <c r="H798" i="65"/>
  <c r="G792" i="65"/>
  <c r="H129" i="36"/>
  <c r="C129" i="36"/>
  <c r="D130" i="36"/>
  <c r="L130" i="36" s="1"/>
  <c r="N130" i="36" s="1"/>
  <c r="B130" i="36"/>
  <c r="P131" i="36" s="1"/>
  <c r="G781" i="65"/>
  <c r="CA8" i="166" s="1"/>
  <c r="G780" i="65"/>
  <c r="CA7" i="166" s="1"/>
  <c r="G779" i="65"/>
  <c r="CA6" i="166" s="1"/>
  <c r="G778" i="65"/>
  <c r="CA5" i="166" s="1"/>
  <c r="G777" i="65"/>
  <c r="CA4" i="166" s="1"/>
  <c r="G776" i="65"/>
  <c r="CA3" i="166" s="1"/>
  <c r="G775" i="65"/>
  <c r="CA2" i="166" s="1"/>
  <c r="B17" i="143"/>
  <c r="FF5" i="1" s="1"/>
  <c r="B16" i="143"/>
  <c r="FF4" i="1" s="1"/>
  <c r="B15" i="143"/>
  <c r="FF3" i="1" s="1"/>
  <c r="B14" i="143"/>
  <c r="FF2" i="1" s="1"/>
  <c r="GL10" i="1" l="1"/>
  <c r="GM1" i="1"/>
  <c r="I785" i="65"/>
  <c r="H790" i="65"/>
  <c r="H788" i="65"/>
  <c r="G130" i="36"/>
  <c r="I130" i="36" s="1"/>
  <c r="M129" i="36"/>
  <c r="H785" i="65"/>
  <c r="I788" i="65"/>
  <c r="H786" i="65"/>
  <c r="H791" i="65"/>
  <c r="I802" i="65"/>
  <c r="H802" i="65"/>
  <c r="H789" i="65"/>
  <c r="I787" i="65"/>
  <c r="I791" i="65"/>
  <c r="H787" i="65"/>
  <c r="I790" i="65"/>
  <c r="I789" i="65"/>
  <c r="I786" i="65"/>
  <c r="G782" i="65"/>
  <c r="I792" i="65" s="1"/>
  <c r="B18" i="143"/>
  <c r="G771" i="65"/>
  <c r="BZ8" i="166" s="1"/>
  <c r="G770" i="65"/>
  <c r="BZ7" i="166" s="1"/>
  <c r="G769" i="65"/>
  <c r="BZ6" i="166" s="1"/>
  <c r="G768" i="65"/>
  <c r="BZ5" i="166" s="1"/>
  <c r="G767" i="65"/>
  <c r="BZ4" i="166" s="1"/>
  <c r="G766" i="65"/>
  <c r="BZ3" i="166" s="1"/>
  <c r="G765" i="65"/>
  <c r="BZ2" i="166" s="1"/>
  <c r="GM10" i="1" l="1"/>
  <c r="GN1" i="1"/>
  <c r="H781" i="65"/>
  <c r="I777" i="65"/>
  <c r="H776" i="65"/>
  <c r="I778" i="65"/>
  <c r="H779" i="65"/>
  <c r="H777" i="65"/>
  <c r="G772" i="65"/>
  <c r="I782" i="65" s="1"/>
  <c r="H778" i="65"/>
  <c r="H792" i="65"/>
  <c r="H780" i="65"/>
  <c r="I780" i="65"/>
  <c r="I775" i="65"/>
  <c r="I779" i="65"/>
  <c r="I776" i="65"/>
  <c r="H775" i="65"/>
  <c r="I781" i="65"/>
  <c r="H128" i="36"/>
  <c r="D129" i="36"/>
  <c r="M128" i="36" s="1"/>
  <c r="B129" i="36"/>
  <c r="P130" i="36" s="1"/>
  <c r="B17" i="142"/>
  <c r="FE5" i="1" s="1"/>
  <c r="B16" i="142"/>
  <c r="FE4" i="1" s="1"/>
  <c r="B15" i="142"/>
  <c r="FE3" i="1" s="1"/>
  <c r="B14" i="142"/>
  <c r="GN10" i="1" l="1"/>
  <c r="GO1" i="1"/>
  <c r="L129" i="36"/>
  <c r="N129" i="36" s="1"/>
  <c r="B18" i="142"/>
  <c r="FE2" i="1"/>
  <c r="G129" i="36"/>
  <c r="I129" i="36" s="1"/>
  <c r="H782" i="65"/>
  <c r="GO10" i="1" l="1"/>
  <c r="GP1" i="1"/>
  <c r="G761" i="65"/>
  <c r="BY8" i="166" s="1"/>
  <c r="G760" i="65"/>
  <c r="BY7" i="166" s="1"/>
  <c r="G759" i="65"/>
  <c r="BY6" i="166" s="1"/>
  <c r="G758" i="65"/>
  <c r="BY5" i="166" s="1"/>
  <c r="G757" i="65"/>
  <c r="BY4" i="166" s="1"/>
  <c r="G756" i="65"/>
  <c r="BY3" i="166" s="1"/>
  <c r="G755" i="65"/>
  <c r="BY2" i="166" s="1"/>
  <c r="C128" i="36"/>
  <c r="H127" i="36" s="1"/>
  <c r="D128" i="36"/>
  <c r="M127" i="36" s="1"/>
  <c r="B128" i="36"/>
  <c r="G128" i="36" s="1"/>
  <c r="I128" i="36" s="1"/>
  <c r="GP10" i="1" l="1"/>
  <c r="GQ1" i="1"/>
  <c r="L128" i="36"/>
  <c r="N128" i="36" s="1"/>
  <c r="P129" i="36"/>
  <c r="H765" i="65"/>
  <c r="I765" i="65"/>
  <c r="H769" i="65"/>
  <c r="I769" i="65"/>
  <c r="H766" i="65"/>
  <c r="I766" i="65"/>
  <c r="H770" i="65"/>
  <c r="I770" i="65"/>
  <c r="H767" i="65"/>
  <c r="I767" i="65"/>
  <c r="H771" i="65"/>
  <c r="I771" i="65"/>
  <c r="H768" i="65"/>
  <c r="I768" i="65"/>
  <c r="G762" i="65"/>
  <c r="B17" i="141"/>
  <c r="FD5" i="1" s="1"/>
  <c r="B16" i="141"/>
  <c r="FD4" i="1" s="1"/>
  <c r="B15" i="141"/>
  <c r="FD3" i="1" s="1"/>
  <c r="B14" i="141"/>
  <c r="FD2" i="1" s="1"/>
  <c r="GQ10" i="1" l="1"/>
  <c r="GR1" i="1"/>
  <c r="GS1" i="1" s="1"/>
  <c r="H772" i="65"/>
  <c r="I772" i="65"/>
  <c r="B18" i="141"/>
  <c r="C127" i="36"/>
  <c r="H126" i="36" s="1"/>
  <c r="D127" i="36"/>
  <c r="M126" i="36" s="1"/>
  <c r="B127" i="36"/>
  <c r="P128" i="36" s="1"/>
  <c r="G751" i="65"/>
  <c r="BX8" i="166" s="1"/>
  <c r="G750" i="65"/>
  <c r="BX7" i="166" s="1"/>
  <c r="G749" i="65"/>
  <c r="BX6" i="166" s="1"/>
  <c r="G748" i="65"/>
  <c r="BX5" i="166" s="1"/>
  <c r="G747" i="65"/>
  <c r="BX4" i="166" s="1"/>
  <c r="G746" i="65"/>
  <c r="BX3" i="166" s="1"/>
  <c r="G745" i="65"/>
  <c r="BX2" i="166" s="1"/>
  <c r="B17" i="139"/>
  <c r="FC5" i="1" s="1"/>
  <c r="B16" i="139"/>
  <c r="FC4" i="1" s="1"/>
  <c r="B15" i="139"/>
  <c r="FC3" i="1" s="1"/>
  <c r="B14" i="139"/>
  <c r="FC2" i="1" s="1"/>
  <c r="GR10" i="1" l="1"/>
  <c r="L127" i="36"/>
  <c r="N127" i="36" s="1"/>
  <c r="B18" i="139"/>
  <c r="G127" i="36"/>
  <c r="I127" i="36" s="1"/>
  <c r="I755" i="65"/>
  <c r="H755" i="65"/>
  <c r="H759" i="65"/>
  <c r="I759" i="65"/>
  <c r="H756" i="65"/>
  <c r="I756" i="65"/>
  <c r="H760" i="65"/>
  <c r="I760" i="65"/>
  <c r="H757" i="65"/>
  <c r="I757" i="65"/>
  <c r="H761" i="65"/>
  <c r="I761" i="65"/>
  <c r="H758" i="65"/>
  <c r="I758" i="65"/>
  <c r="G752" i="65"/>
  <c r="GS10" i="1" l="1"/>
  <c r="GT1" i="1"/>
  <c r="I762" i="65"/>
  <c r="H762" i="65"/>
  <c r="GT10" i="1" l="1"/>
  <c r="GU1" i="1"/>
  <c r="C126" i="36"/>
  <c r="D126" i="36"/>
  <c r="M125" i="36" s="1"/>
  <c r="B126" i="36"/>
  <c r="FB3" i="1"/>
  <c r="G741" i="65"/>
  <c r="BW8" i="166" s="1"/>
  <c r="G740" i="65"/>
  <c r="BW7" i="166" s="1"/>
  <c r="G739" i="65"/>
  <c r="BW6" i="166" s="1"/>
  <c r="G738" i="65"/>
  <c r="BW5" i="166" s="1"/>
  <c r="G737" i="65"/>
  <c r="BW4" i="166" s="1"/>
  <c r="G736" i="65"/>
  <c r="BW3" i="166" s="1"/>
  <c r="G735" i="65"/>
  <c r="BW2" i="166" s="1"/>
  <c r="B17" i="138"/>
  <c r="FB5" i="1" s="1"/>
  <c r="B16" i="138"/>
  <c r="FB4" i="1" s="1"/>
  <c r="B15" i="138"/>
  <c r="B14" i="138"/>
  <c r="FB2" i="1" s="1"/>
  <c r="GU10" i="1" l="1"/>
  <c r="GV1" i="1"/>
  <c r="L126" i="36"/>
  <c r="N126" i="36" s="1"/>
  <c r="H125" i="36"/>
  <c r="P127" i="36"/>
  <c r="G126" i="36"/>
  <c r="I126" i="36" s="1"/>
  <c r="H749" i="65"/>
  <c r="I749" i="65"/>
  <c r="I750" i="65"/>
  <c r="H750" i="65"/>
  <c r="H751" i="65"/>
  <c r="I751" i="65"/>
  <c r="H747" i="65"/>
  <c r="I747" i="65"/>
  <c r="I745" i="65"/>
  <c r="H745" i="65"/>
  <c r="H746" i="65"/>
  <c r="I746" i="65"/>
  <c r="H748" i="65"/>
  <c r="I748" i="65"/>
  <c r="G742" i="65"/>
  <c r="B18" i="138"/>
  <c r="FB10" i="1"/>
  <c r="FC10" i="1"/>
  <c r="FD10" i="1"/>
  <c r="FE10" i="1"/>
  <c r="FF10" i="1"/>
  <c r="FG10" i="1"/>
  <c r="FH10" i="1"/>
  <c r="FI10" i="1"/>
  <c r="FJ10" i="1"/>
  <c r="FK10" i="1"/>
  <c r="FL10" i="1"/>
  <c r="FM10" i="1"/>
  <c r="FC6" i="1"/>
  <c r="FC12" i="1" s="1"/>
  <c r="FD6" i="1"/>
  <c r="FD12" i="1" s="1"/>
  <c r="FE6" i="1"/>
  <c r="FE12" i="1" s="1"/>
  <c r="FF6" i="1"/>
  <c r="FF12" i="1" s="1"/>
  <c r="FG6" i="1"/>
  <c r="FG12" i="1" s="1"/>
  <c r="FH6" i="1"/>
  <c r="FH12" i="1" s="1"/>
  <c r="FI6" i="1"/>
  <c r="FI12" i="1" s="1"/>
  <c r="FJ6" i="1"/>
  <c r="FJ12" i="1" s="1"/>
  <c r="FK6" i="1"/>
  <c r="FK12" i="1" s="1"/>
  <c r="FL6" i="1"/>
  <c r="FL12" i="1" s="1"/>
  <c r="FM6" i="1"/>
  <c r="FB6" i="1"/>
  <c r="FB12" i="1" s="1"/>
  <c r="B14" i="137"/>
  <c r="G731" i="65"/>
  <c r="BV8" i="166" s="1"/>
  <c r="G730" i="65"/>
  <c r="BV7" i="166" s="1"/>
  <c r="G729" i="65"/>
  <c r="BV6" i="166" s="1"/>
  <c r="G728" i="65"/>
  <c r="BV5" i="166" s="1"/>
  <c r="G727" i="65"/>
  <c r="BV4" i="166" s="1"/>
  <c r="G726" i="65"/>
  <c r="BV3" i="166" s="1"/>
  <c r="G725" i="65"/>
  <c r="BV2" i="166" s="1"/>
  <c r="C125" i="36"/>
  <c r="H124" i="36" s="1"/>
  <c r="D125" i="36"/>
  <c r="M124" i="36" s="1"/>
  <c r="B125" i="36"/>
  <c r="G125" i="36" s="1"/>
  <c r="FA2" i="1"/>
  <c r="FA3" i="1"/>
  <c r="B17" i="137"/>
  <c r="FA5" i="1" s="1"/>
  <c r="B16" i="137"/>
  <c r="FA4" i="1" s="1"/>
  <c r="B15" i="137"/>
  <c r="B18" i="137"/>
  <c r="G721" i="65"/>
  <c r="BU8" i="166" s="1"/>
  <c r="G720" i="65"/>
  <c r="BU7" i="166" s="1"/>
  <c r="G719" i="65"/>
  <c r="BU6" i="166" s="1"/>
  <c r="G718" i="65"/>
  <c r="BU5" i="166" s="1"/>
  <c r="G717" i="65"/>
  <c r="BU4" i="166" s="1"/>
  <c r="G716" i="65"/>
  <c r="BU3" i="166" s="1"/>
  <c r="G715" i="65"/>
  <c r="BU2" i="166" s="1"/>
  <c r="C124" i="36"/>
  <c r="D124" i="36"/>
  <c r="M123" i="36" s="1"/>
  <c r="B124" i="36"/>
  <c r="G124" i="36" s="1"/>
  <c r="B17" i="136"/>
  <c r="EZ5" i="1" s="1"/>
  <c r="B16" i="136"/>
  <c r="EZ4" i="1" s="1"/>
  <c r="B15" i="136"/>
  <c r="EZ3" i="1" s="1"/>
  <c r="B14" i="136"/>
  <c r="EZ2" i="1" s="1"/>
  <c r="G711" i="65"/>
  <c r="BT8" i="166" s="1"/>
  <c r="G710" i="65"/>
  <c r="BT7" i="166" s="1"/>
  <c r="G709" i="65"/>
  <c r="BT6" i="166" s="1"/>
  <c r="G708" i="65"/>
  <c r="BT5" i="166" s="1"/>
  <c r="G707" i="65"/>
  <c r="BT4" i="166" s="1"/>
  <c r="G706" i="65"/>
  <c r="BT3" i="166" s="1"/>
  <c r="G705" i="65"/>
  <c r="BT2" i="166" s="1"/>
  <c r="C123" i="36"/>
  <c r="H122" i="36" s="1"/>
  <c r="D123" i="36"/>
  <c r="M122" i="36" s="1"/>
  <c r="B123" i="36"/>
  <c r="G123" i="36" s="1"/>
  <c r="B17" i="135"/>
  <c r="EY5" i="1" s="1"/>
  <c r="B16" i="135"/>
  <c r="EY4" i="1" s="1"/>
  <c r="B15" i="135"/>
  <c r="EY3" i="1" s="1"/>
  <c r="B14" i="135"/>
  <c r="EY2" i="1"/>
  <c r="C122" i="36"/>
  <c r="D122" i="36"/>
  <c r="M121" i="36" s="1"/>
  <c r="B122" i="36"/>
  <c r="G701" i="65"/>
  <c r="BS8" i="166" s="1"/>
  <c r="G700" i="65"/>
  <c r="BS7" i="166" s="1"/>
  <c r="G699" i="65"/>
  <c r="BS6" i="166" s="1"/>
  <c r="G698" i="65"/>
  <c r="BS5" i="166" s="1"/>
  <c r="G697" i="65"/>
  <c r="BS4" i="166" s="1"/>
  <c r="G696" i="65"/>
  <c r="BS3" i="166" s="1"/>
  <c r="G695" i="65"/>
  <c r="BS2" i="166" s="1"/>
  <c r="B17" i="134"/>
  <c r="EX5" i="1" s="1"/>
  <c r="B16" i="134"/>
  <c r="B15" i="134"/>
  <c r="EX3" i="1"/>
  <c r="B14" i="134"/>
  <c r="EX2" i="1" s="1"/>
  <c r="G691" i="65"/>
  <c r="BR8" i="166" s="1"/>
  <c r="G690" i="65"/>
  <c r="BR7" i="166" s="1"/>
  <c r="G689" i="65"/>
  <c r="BR6" i="166" s="1"/>
  <c r="G688" i="65"/>
  <c r="BR5" i="166" s="1"/>
  <c r="G687" i="65"/>
  <c r="BR4" i="166" s="1"/>
  <c r="G686" i="65"/>
  <c r="BR3" i="166" s="1"/>
  <c r="G685" i="65"/>
  <c r="BR2" i="166" s="1"/>
  <c r="C121" i="36"/>
  <c r="H120" i="36" s="1"/>
  <c r="D121" i="36"/>
  <c r="M120" i="36" s="1"/>
  <c r="B121" i="36"/>
  <c r="B17" i="133"/>
  <c r="EW5" i="1" s="1"/>
  <c r="B16" i="133"/>
  <c r="EW4" i="1" s="1"/>
  <c r="B15" i="133"/>
  <c r="EW3" i="1" s="1"/>
  <c r="B14" i="133"/>
  <c r="EW2" i="1" s="1"/>
  <c r="G681" i="65"/>
  <c r="BQ8" i="166" s="1"/>
  <c r="G680" i="65"/>
  <c r="BQ7" i="166" s="1"/>
  <c r="G679" i="65"/>
  <c r="BQ6" i="166" s="1"/>
  <c r="G678" i="65"/>
  <c r="BQ5" i="166" s="1"/>
  <c r="G677" i="65"/>
  <c r="BQ4" i="166" s="1"/>
  <c r="G676" i="65"/>
  <c r="BQ3" i="166" s="1"/>
  <c r="G675" i="65"/>
  <c r="BQ2" i="166" s="1"/>
  <c r="C120" i="36"/>
  <c r="D120" i="36"/>
  <c r="M119" i="36" s="1"/>
  <c r="B120" i="36"/>
  <c r="G120" i="36" s="1"/>
  <c r="B17" i="132"/>
  <c r="EV5" i="1" s="1"/>
  <c r="B16" i="132"/>
  <c r="EV4" i="1" s="1"/>
  <c r="B15" i="132"/>
  <c r="EV3" i="1" s="1"/>
  <c r="B14" i="132"/>
  <c r="G671" i="65"/>
  <c r="BP8" i="166" s="1"/>
  <c r="G670" i="65"/>
  <c r="BP7" i="166" s="1"/>
  <c r="G669" i="65"/>
  <c r="BP6" i="166" s="1"/>
  <c r="G668" i="65"/>
  <c r="BP5" i="166" s="1"/>
  <c r="G667" i="65"/>
  <c r="BP4" i="166" s="1"/>
  <c r="G666" i="65"/>
  <c r="BP3" i="166" s="1"/>
  <c r="G665" i="65"/>
  <c r="BP2" i="166" s="1"/>
  <c r="C119" i="36"/>
  <c r="D119" i="36"/>
  <c r="M118" i="36" s="1"/>
  <c r="B119" i="36"/>
  <c r="G661" i="65"/>
  <c r="BO8" i="166" s="1"/>
  <c r="G660" i="65"/>
  <c r="BO7" i="166" s="1"/>
  <c r="G659" i="65"/>
  <c r="BO6" i="166" s="1"/>
  <c r="G658" i="65"/>
  <c r="BO5" i="166" s="1"/>
  <c r="G657" i="65"/>
  <c r="BO4" i="166" s="1"/>
  <c r="G656" i="65"/>
  <c r="BO3" i="166" s="1"/>
  <c r="G655" i="65"/>
  <c r="BO2" i="166" s="1"/>
  <c r="C118" i="36"/>
  <c r="D118" i="36"/>
  <c r="M117" i="36" s="1"/>
  <c r="B118" i="36"/>
  <c r="G118" i="36" s="1"/>
  <c r="B17" i="131"/>
  <c r="EU5" i="1" s="1"/>
  <c r="B16" i="131"/>
  <c r="B15" i="131"/>
  <c r="EU3" i="1"/>
  <c r="B14" i="131"/>
  <c r="EU2" i="1"/>
  <c r="B17" i="130"/>
  <c r="ET5" i="1" s="1"/>
  <c r="B16" i="130"/>
  <c r="ET4" i="1" s="1"/>
  <c r="B15" i="130"/>
  <c r="ET3" i="1"/>
  <c r="B14" i="130"/>
  <c r="ET2" i="1"/>
  <c r="HX30" i="1"/>
  <c r="G651" i="65"/>
  <c r="BN8" i="166" s="1"/>
  <c r="G650" i="65"/>
  <c r="BN7" i="166" s="1"/>
  <c r="G649" i="65"/>
  <c r="BN6" i="166" s="1"/>
  <c r="G648" i="65"/>
  <c r="BN5" i="166" s="1"/>
  <c r="G647" i="65"/>
  <c r="BN4" i="166" s="1"/>
  <c r="G646" i="65"/>
  <c r="BN3" i="166" s="1"/>
  <c r="G645" i="65"/>
  <c r="BN2" i="166" s="1"/>
  <c r="C117" i="36"/>
  <c r="H116" i="36" s="1"/>
  <c r="D117" i="36"/>
  <c r="M116" i="36" s="1"/>
  <c r="D114" i="36"/>
  <c r="M113" i="36" s="1"/>
  <c r="D116" i="36"/>
  <c r="M115" i="36" s="1"/>
  <c r="D115" i="36"/>
  <c r="M114" i="36" s="1"/>
  <c r="C115" i="36"/>
  <c r="H114" i="36" s="1"/>
  <c r="C114" i="36"/>
  <c r="H113" i="36" s="1"/>
  <c r="B117" i="36"/>
  <c r="B116" i="36"/>
  <c r="G116" i="36" s="1"/>
  <c r="B115" i="36"/>
  <c r="B114" i="36"/>
  <c r="B17" i="129"/>
  <c r="ES5" i="1"/>
  <c r="B16" i="129"/>
  <c r="ES4" i="1" s="1"/>
  <c r="B15" i="129"/>
  <c r="ES3" i="1" s="1"/>
  <c r="B14" i="129"/>
  <c r="ES2" i="1"/>
  <c r="G641" i="65"/>
  <c r="BM8" i="166" s="1"/>
  <c r="G640" i="65"/>
  <c r="BM7" i="166" s="1"/>
  <c r="G639" i="65"/>
  <c r="BM6" i="166" s="1"/>
  <c r="G638" i="65"/>
  <c r="BM5" i="166" s="1"/>
  <c r="G637" i="65"/>
  <c r="BM4" i="166" s="1"/>
  <c r="G636" i="65"/>
  <c r="BM3" i="166" s="1"/>
  <c r="G635" i="65"/>
  <c r="BM2" i="166" s="1"/>
  <c r="C116" i="36"/>
  <c r="H115" i="36" s="1"/>
  <c r="B17" i="128"/>
  <c r="ER5" i="1" s="1"/>
  <c r="B16" i="128"/>
  <c r="ER4" i="1" s="1"/>
  <c r="B15" i="128"/>
  <c r="ER3" i="1" s="1"/>
  <c r="B14" i="128"/>
  <c r="ER2" i="1" s="1"/>
  <c r="G631" i="65"/>
  <c r="BL8" i="166" s="1"/>
  <c r="G630" i="65"/>
  <c r="BL7" i="166" s="1"/>
  <c r="G629" i="65"/>
  <c r="BL6" i="166" s="1"/>
  <c r="G628" i="65"/>
  <c r="BL5" i="166" s="1"/>
  <c r="G627" i="65"/>
  <c r="BL4" i="166" s="1"/>
  <c r="G626" i="65"/>
  <c r="BL3" i="166" s="1"/>
  <c r="G625" i="65"/>
  <c r="BL2" i="166" s="1"/>
  <c r="B17" i="127"/>
  <c r="EQ5" i="1"/>
  <c r="B16" i="127"/>
  <c r="EQ4" i="1" s="1"/>
  <c r="B15" i="127"/>
  <c r="EQ3" i="1"/>
  <c r="B14" i="127"/>
  <c r="G621" i="65"/>
  <c r="BK8" i="166" s="1"/>
  <c r="G620" i="65"/>
  <c r="BK7" i="166" s="1"/>
  <c r="G619" i="65"/>
  <c r="BK6" i="166" s="1"/>
  <c r="G618" i="65"/>
  <c r="BK5" i="166" s="1"/>
  <c r="G617" i="65"/>
  <c r="BK4" i="166" s="1"/>
  <c r="G616" i="65"/>
  <c r="BK3" i="166" s="1"/>
  <c r="G615" i="65"/>
  <c r="BK2" i="166" s="1"/>
  <c r="B17" i="126"/>
  <c r="EP5" i="1"/>
  <c r="B16" i="126"/>
  <c r="EP4" i="1"/>
  <c r="B15" i="126"/>
  <c r="EP3" i="1" s="1"/>
  <c r="B14" i="126"/>
  <c r="EP2" i="1"/>
  <c r="G611" i="65"/>
  <c r="BJ8" i="166" s="1"/>
  <c r="G610" i="65"/>
  <c r="BJ7" i="166" s="1"/>
  <c r="G609" i="65"/>
  <c r="BJ6" i="166" s="1"/>
  <c r="G608" i="65"/>
  <c r="BJ5" i="166" s="1"/>
  <c r="G607" i="65"/>
  <c r="BJ4" i="166" s="1"/>
  <c r="G606" i="65"/>
  <c r="BJ3" i="166" s="1"/>
  <c r="G605" i="65"/>
  <c r="BJ2" i="166" s="1"/>
  <c r="C113" i="36"/>
  <c r="D113" i="36"/>
  <c r="M112" i="36" s="1"/>
  <c r="B113" i="36"/>
  <c r="B17" i="125"/>
  <c r="EO5" i="1"/>
  <c r="B16" i="125"/>
  <c r="EO4" i="1" s="1"/>
  <c r="B15" i="125"/>
  <c r="EO3" i="1"/>
  <c r="B14" i="125"/>
  <c r="EO2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G595" i="65"/>
  <c r="BI2" i="166" s="1"/>
  <c r="G596" i="65"/>
  <c r="BI3" i="166" s="1"/>
  <c r="G597" i="65"/>
  <c r="BI4" i="166" s="1"/>
  <c r="G598" i="65"/>
  <c r="BI5" i="166" s="1"/>
  <c r="G599" i="65"/>
  <c r="BI6" i="166" s="1"/>
  <c r="G600" i="65"/>
  <c r="BI7" i="166" s="1"/>
  <c r="G601" i="65"/>
  <c r="BI8" i="166" s="1"/>
  <c r="C112" i="36"/>
  <c r="D112" i="36"/>
  <c r="M111" i="36"/>
  <c r="B112" i="36"/>
  <c r="G112" i="36" s="1"/>
  <c r="B14" i="123"/>
  <c r="EN2" i="1"/>
  <c r="B15" i="123"/>
  <c r="EN3" i="1" s="1"/>
  <c r="B16" i="123"/>
  <c r="B17" i="123"/>
  <c r="EN5" i="1" s="1"/>
  <c r="G581" i="65"/>
  <c r="BG8" i="166" s="1"/>
  <c r="G591" i="65"/>
  <c r="BH8" i="166" s="1"/>
  <c r="G580" i="65"/>
  <c r="BG7" i="166" s="1"/>
  <c r="G590" i="65"/>
  <c r="BH7" i="166" s="1"/>
  <c r="G589" i="65"/>
  <c r="BH6" i="166" s="1"/>
  <c r="G579" i="65"/>
  <c r="BG6" i="166" s="1"/>
  <c r="G588" i="65"/>
  <c r="BH5" i="166" s="1"/>
  <c r="G578" i="65"/>
  <c r="BG5" i="166" s="1"/>
  <c r="G587" i="65"/>
  <c r="BH4" i="166" s="1"/>
  <c r="G577" i="65"/>
  <c r="BG4" i="166" s="1"/>
  <c r="G576" i="65"/>
  <c r="BG3" i="166" s="1"/>
  <c r="G586" i="65"/>
  <c r="BH3" i="166" s="1"/>
  <c r="G585" i="65"/>
  <c r="BH2" i="166" s="1"/>
  <c r="G575" i="65"/>
  <c r="BG2" i="166" s="1"/>
  <c r="F3" i="36"/>
  <c r="F4" i="36" s="1"/>
  <c r="F5" i="36" s="1"/>
  <c r="F6" i="36" s="1"/>
  <c r="F7" i="36" s="1"/>
  <c r="F8" i="36" s="1"/>
  <c r="F9" i="36" s="1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K3" i="36"/>
  <c r="K4" i="36" s="1"/>
  <c r="K5" i="36" s="1"/>
  <c r="K6" i="36" s="1"/>
  <c r="K7" i="36" s="1"/>
  <c r="K8" i="36" s="1"/>
  <c r="K9" i="36" s="1"/>
  <c r="K10" i="36" s="1"/>
  <c r="K11" i="36" s="1"/>
  <c r="K12" i="36" s="1"/>
  <c r="K13" i="36" s="1"/>
  <c r="K14" i="36" s="1"/>
  <c r="K15" i="36" s="1"/>
  <c r="K16" i="36" s="1"/>
  <c r="K17" i="36" s="1"/>
  <c r="K18" i="36" s="1"/>
  <c r="K19" i="36" s="1"/>
  <c r="K20" i="36" s="1"/>
  <c r="K21" i="36" s="1"/>
  <c r="K22" i="36" s="1"/>
  <c r="K23" i="36" s="1"/>
  <c r="K24" i="36" s="1"/>
  <c r="K25" i="36" s="1"/>
  <c r="K26" i="36" s="1"/>
  <c r="K27" i="36" s="1"/>
  <c r="K28" i="36" s="1"/>
  <c r="K29" i="36" s="1"/>
  <c r="K30" i="36" s="1"/>
  <c r="K31" i="36" s="1"/>
  <c r="K32" i="36" s="1"/>
  <c r="K33" i="36" s="1"/>
  <c r="K34" i="36" s="1"/>
  <c r="K35" i="36" s="1"/>
  <c r="K36" i="36" s="1"/>
  <c r="K37" i="36" s="1"/>
  <c r="K38" i="36" s="1"/>
  <c r="K39" i="36" s="1"/>
  <c r="K40" i="36" s="1"/>
  <c r="K41" i="36" s="1"/>
  <c r="K42" i="36" s="1"/>
  <c r="K43" i="36" s="1"/>
  <c r="K44" i="36" s="1"/>
  <c r="K45" i="36" s="1"/>
  <c r="K46" i="36" s="1"/>
  <c r="K47" i="36" s="1"/>
  <c r="K48" i="36" s="1"/>
  <c r="K49" i="36" s="1"/>
  <c r="K50" i="36" s="1"/>
  <c r="K51" i="36" s="1"/>
  <c r="K52" i="36" s="1"/>
  <c r="K53" i="36" s="1"/>
  <c r="K54" i="36" s="1"/>
  <c r="K55" i="36" s="1"/>
  <c r="K56" i="36" s="1"/>
  <c r="K57" i="36" s="1"/>
  <c r="K58" i="36" s="1"/>
  <c r="K59" i="36" s="1"/>
  <c r="K60" i="36" s="1"/>
  <c r="K61" i="36" s="1"/>
  <c r="K62" i="36" s="1"/>
  <c r="K63" i="36" s="1"/>
  <c r="K64" i="36" s="1"/>
  <c r="K65" i="36" s="1"/>
  <c r="K66" i="36" s="1"/>
  <c r="K67" i="36" s="1"/>
  <c r="K68" i="36" s="1"/>
  <c r="K69" i="36" s="1"/>
  <c r="K70" i="36" s="1"/>
  <c r="K71" i="36" s="1"/>
  <c r="K72" i="36" s="1"/>
  <c r="K73" i="36" s="1"/>
  <c r="K74" i="36" s="1"/>
  <c r="K75" i="36" s="1"/>
  <c r="K76" i="36" s="1"/>
  <c r="K77" i="36" s="1"/>
  <c r="K78" i="36" s="1"/>
  <c r="K79" i="36" s="1"/>
  <c r="K80" i="36" s="1"/>
  <c r="K81" i="36" s="1"/>
  <c r="K82" i="36" s="1"/>
  <c r="K83" i="36" s="1"/>
  <c r="K84" i="36" s="1"/>
  <c r="K85" i="36" s="1"/>
  <c r="K86" i="36" s="1"/>
  <c r="K87" i="36" s="1"/>
  <c r="K88" i="36" s="1"/>
  <c r="K89" i="36" s="1"/>
  <c r="K90" i="36" s="1"/>
  <c r="K91" i="36" s="1"/>
  <c r="K92" i="36" s="1"/>
  <c r="K93" i="36" s="1"/>
  <c r="K94" i="36" s="1"/>
  <c r="K95" i="36" s="1"/>
  <c r="K96" i="36" s="1"/>
  <c r="K97" i="36" s="1"/>
  <c r="K98" i="36" s="1"/>
  <c r="K99" i="36" s="1"/>
  <c r="K100" i="36" s="1"/>
  <c r="K101" i="36" s="1"/>
  <c r="K102" i="36" s="1"/>
  <c r="K103" i="36" s="1"/>
  <c r="K104" i="36" s="1"/>
  <c r="K105" i="36" s="1"/>
  <c r="K106" i="36" s="1"/>
  <c r="K107" i="36" s="1"/>
  <c r="K108" i="36" s="1"/>
  <c r="K109" i="36" s="1"/>
  <c r="K110" i="36" s="1"/>
  <c r="K111" i="36" s="1"/>
  <c r="K112" i="36" s="1"/>
  <c r="K113" i="36" s="1"/>
  <c r="K114" i="36" s="1"/>
  <c r="K115" i="36" s="1"/>
  <c r="K116" i="36" s="1"/>
  <c r="K117" i="36" s="1"/>
  <c r="K118" i="36" s="1"/>
  <c r="K119" i="36" s="1"/>
  <c r="K120" i="36" s="1"/>
  <c r="K121" i="36" s="1"/>
  <c r="K122" i="36" s="1"/>
  <c r="K123" i="36" s="1"/>
  <c r="K124" i="36" s="1"/>
  <c r="K125" i="36" s="1"/>
  <c r="K126" i="36" s="1"/>
  <c r="K127" i="36" s="1"/>
  <c r="K128" i="36" s="1"/>
  <c r="K129" i="36" s="1"/>
  <c r="K130" i="36" s="1"/>
  <c r="K131" i="36" s="1"/>
  <c r="K132" i="36" s="1"/>
  <c r="K133" i="36" s="1"/>
  <c r="K134" i="36" s="1"/>
  <c r="K135" i="36" s="1"/>
  <c r="K136" i="36" s="1"/>
  <c r="K137" i="36" s="1"/>
  <c r="K138" i="36" s="1"/>
  <c r="K139" i="36" s="1"/>
  <c r="K140" i="36" s="1"/>
  <c r="K141" i="36" s="1"/>
  <c r="K142" i="36" s="1"/>
  <c r="K143" i="36" s="1"/>
  <c r="K144" i="36" s="1"/>
  <c r="K145" i="36" s="1"/>
  <c r="K146" i="36" s="1"/>
  <c r="K147" i="36" s="1"/>
  <c r="K148" i="36" s="1"/>
  <c r="K149" i="36" s="1"/>
  <c r="K150" i="36" s="1"/>
  <c r="K151" i="36" s="1"/>
  <c r="K152" i="36" s="1"/>
  <c r="K153" i="36" s="1"/>
  <c r="K154" i="36" s="1"/>
  <c r="K155" i="36" s="1"/>
  <c r="K156" i="36" s="1"/>
  <c r="K157" i="36" s="1"/>
  <c r="K158" i="36" s="1"/>
  <c r="K159" i="36" s="1"/>
  <c r="K160" i="36" s="1"/>
  <c r="K161" i="36" s="1"/>
  <c r="C110" i="36"/>
  <c r="D110" i="36"/>
  <c r="P111" i="36" s="1"/>
  <c r="D111" i="36"/>
  <c r="M110" i="36" s="1"/>
  <c r="C111" i="36"/>
  <c r="H110" i="36" s="1"/>
  <c r="B110" i="36"/>
  <c r="B111" i="36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A124" i="36" s="1"/>
  <c r="A125" i="36" s="1"/>
  <c r="A126" i="36" s="1"/>
  <c r="A127" i="36" s="1"/>
  <c r="A128" i="36" s="1"/>
  <c r="A129" i="36" s="1"/>
  <c r="A130" i="36" s="1"/>
  <c r="A131" i="36" s="1"/>
  <c r="A132" i="36" s="1"/>
  <c r="A133" i="36" s="1"/>
  <c r="A134" i="36" s="1"/>
  <c r="A135" i="36" s="1"/>
  <c r="A136" i="36" s="1"/>
  <c r="A137" i="36" s="1"/>
  <c r="A138" i="36" s="1"/>
  <c r="A139" i="36" s="1"/>
  <c r="A140" i="36" s="1"/>
  <c r="A141" i="36" s="1"/>
  <c r="A142" i="36" s="1"/>
  <c r="A143" i="36" s="1"/>
  <c r="A144" i="36" s="1"/>
  <c r="A145" i="36" s="1"/>
  <c r="A146" i="36" s="1"/>
  <c r="A147" i="36" s="1"/>
  <c r="A148" i="36" s="1"/>
  <c r="A149" i="36" s="1"/>
  <c r="A150" i="36" s="1"/>
  <c r="A151" i="36" s="1"/>
  <c r="A152" i="36" s="1"/>
  <c r="A153" i="36" s="1"/>
  <c r="A154" i="36" s="1"/>
  <c r="A155" i="36" s="1"/>
  <c r="A156" i="36" s="1"/>
  <c r="A157" i="36" s="1"/>
  <c r="A158" i="36" s="1"/>
  <c r="A159" i="36" s="1"/>
  <c r="A160" i="36" s="1"/>
  <c r="A161" i="36" s="1"/>
  <c r="B14" i="122"/>
  <c r="EM2" i="1"/>
  <c r="B15" i="122"/>
  <c r="EM3" i="1"/>
  <c r="B16" i="122"/>
  <c r="EM4" i="1" s="1"/>
  <c r="B17" i="122"/>
  <c r="EM5" i="1"/>
  <c r="G570" i="65"/>
  <c r="BF7" i="166" s="1"/>
  <c r="G568" i="65"/>
  <c r="BF5" i="166" s="1"/>
  <c r="G565" i="65"/>
  <c r="BF2" i="166" s="1"/>
  <c r="B109" i="36"/>
  <c r="G109" i="36" s="1"/>
  <c r="B15" i="121"/>
  <c r="EL3" i="1" s="1"/>
  <c r="B16" i="121"/>
  <c r="EL4" i="1" s="1"/>
  <c r="B17" i="121"/>
  <c r="EL5" i="1" s="1"/>
  <c r="B14" i="121"/>
  <c r="EL2" i="1" s="1"/>
  <c r="G571" i="65"/>
  <c r="BF8" i="166" s="1"/>
  <c r="G569" i="65"/>
  <c r="BF6" i="166" s="1"/>
  <c r="G567" i="65"/>
  <c r="BF4" i="166" s="1"/>
  <c r="G566" i="65"/>
  <c r="BF3" i="166" s="1"/>
  <c r="G556" i="65"/>
  <c r="BE3" i="166" s="1"/>
  <c r="G555" i="65"/>
  <c r="BE2" i="166" s="1"/>
  <c r="C109" i="36"/>
  <c r="D109" i="36"/>
  <c r="B17" i="120"/>
  <c r="EK5" i="1" s="1"/>
  <c r="B16" i="120"/>
  <c r="EK4" i="1"/>
  <c r="B15" i="120"/>
  <c r="EK3" i="1" s="1"/>
  <c r="B14" i="120"/>
  <c r="EK2" i="1"/>
  <c r="D108" i="36"/>
  <c r="M107" i="36" s="1"/>
  <c r="C108" i="36"/>
  <c r="B108" i="36"/>
  <c r="G561" i="65"/>
  <c r="BE8" i="166" s="1"/>
  <c r="G560" i="65"/>
  <c r="BE7" i="166" s="1"/>
  <c r="G559" i="65"/>
  <c r="BE6" i="166" s="1"/>
  <c r="G558" i="65"/>
  <c r="BE5" i="166" s="1"/>
  <c r="G557" i="65"/>
  <c r="BE4" i="166" s="1"/>
  <c r="B17" i="119"/>
  <c r="EJ5" i="1" s="1"/>
  <c r="B16" i="119"/>
  <c r="EJ4" i="1" s="1"/>
  <c r="B15" i="119"/>
  <c r="EJ3" i="1" s="1"/>
  <c r="B14" i="119"/>
  <c r="EJ2" i="1" s="1"/>
  <c r="D107" i="36"/>
  <c r="M106" i="36" s="1"/>
  <c r="C107" i="36"/>
  <c r="H106" i="36" s="1"/>
  <c r="B107" i="36"/>
  <c r="G107" i="36" s="1"/>
  <c r="G551" i="65"/>
  <c r="BD8" i="166" s="1"/>
  <c r="G550" i="65"/>
  <c r="BD7" i="166" s="1"/>
  <c r="G549" i="65"/>
  <c r="BD6" i="166" s="1"/>
  <c r="G539" i="65"/>
  <c r="BC6" i="166" s="1"/>
  <c r="G548" i="65"/>
  <c r="BD5" i="166" s="1"/>
  <c r="G547" i="65"/>
  <c r="BD4" i="166" s="1"/>
  <c r="G546" i="65"/>
  <c r="BD3" i="166" s="1"/>
  <c r="G545" i="65"/>
  <c r="BD2" i="166" s="1"/>
  <c r="B17" i="118"/>
  <c r="EI5" i="1" s="1"/>
  <c r="B16" i="118"/>
  <c r="EI4" i="1" s="1"/>
  <c r="B15" i="118"/>
  <c r="EI3" i="1" s="1"/>
  <c r="B14" i="118"/>
  <c r="EI10" i="1"/>
  <c r="EJ10" i="1"/>
  <c r="EK10" i="1"/>
  <c r="EL10" i="1"/>
  <c r="EM10" i="1"/>
  <c r="EN10" i="1"/>
  <c r="EO10" i="1"/>
  <c r="EH10" i="1"/>
  <c r="C106" i="36"/>
  <c r="L106" i="36" s="1"/>
  <c r="N106" i="36" s="1"/>
  <c r="D106" i="36"/>
  <c r="M105" i="36" s="1"/>
  <c r="B106" i="36"/>
  <c r="G106" i="36" s="1"/>
  <c r="I106" i="36" s="1"/>
  <c r="G541" i="65"/>
  <c r="BC8" i="166" s="1"/>
  <c r="G540" i="65"/>
  <c r="BC7" i="166" s="1"/>
  <c r="G538" i="65"/>
  <c r="BC5" i="166" s="1"/>
  <c r="G537" i="65"/>
  <c r="BC4" i="166" s="1"/>
  <c r="G536" i="65"/>
  <c r="BC3" i="166" s="1"/>
  <c r="G535" i="65"/>
  <c r="BC2" i="166" s="1"/>
  <c r="B16" i="117"/>
  <c r="EH4" i="1"/>
  <c r="B17" i="117"/>
  <c r="EH5" i="1" s="1"/>
  <c r="B15" i="117"/>
  <c r="EH3" i="1" s="1"/>
  <c r="B14" i="117"/>
  <c r="EH2" i="1" s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DR10" i="1"/>
  <c r="HX29" i="1"/>
  <c r="F9" i="116"/>
  <c r="D105" i="36" s="1"/>
  <c r="G531" i="65"/>
  <c r="BB8" i="166" s="1"/>
  <c r="G530" i="65"/>
  <c r="BB7" i="166" s="1"/>
  <c r="G529" i="65"/>
  <c r="BB6" i="166" s="1"/>
  <c r="G519" i="65"/>
  <c r="BA6" i="166" s="1"/>
  <c r="G528" i="65"/>
  <c r="BB5" i="166" s="1"/>
  <c r="G527" i="65"/>
  <c r="BB4" i="166" s="1"/>
  <c r="G526" i="65"/>
  <c r="BB3" i="166" s="1"/>
  <c r="G525" i="65"/>
  <c r="BB2" i="166" s="1"/>
  <c r="G515" i="65"/>
  <c r="BA2" i="166" s="1"/>
  <c r="C105" i="36"/>
  <c r="H104" i="36"/>
  <c r="C104" i="36"/>
  <c r="D103" i="36"/>
  <c r="M102" i="36" s="1"/>
  <c r="B105" i="36"/>
  <c r="B103" i="36"/>
  <c r="B17" i="116"/>
  <c r="EG5" i="1" s="1"/>
  <c r="B15" i="116"/>
  <c r="EG3" i="1" s="1"/>
  <c r="B14" i="116"/>
  <c r="EG2" i="1" s="1"/>
  <c r="D9" i="115"/>
  <c r="F9" i="115"/>
  <c r="D104" i="36"/>
  <c r="M103" i="36" s="1"/>
  <c r="G521" i="65"/>
  <c r="BA8" i="166" s="1"/>
  <c r="G520" i="65"/>
  <c r="BA7" i="166" s="1"/>
  <c r="G518" i="65"/>
  <c r="BA5" i="166" s="1"/>
  <c r="G517" i="65"/>
  <c r="BA4" i="166" s="1"/>
  <c r="G516" i="65"/>
  <c r="BA3" i="166" s="1"/>
  <c r="B17" i="115"/>
  <c r="EF5" i="1" s="1"/>
  <c r="B15" i="115"/>
  <c r="EF3" i="1" s="1"/>
  <c r="B14" i="115"/>
  <c r="EF2" i="1"/>
  <c r="E9" i="114"/>
  <c r="G511" i="65"/>
  <c r="AZ8" i="166" s="1"/>
  <c r="G510" i="65"/>
  <c r="AZ7" i="166" s="1"/>
  <c r="G509" i="65"/>
  <c r="AZ6" i="166" s="1"/>
  <c r="G508" i="65"/>
  <c r="AZ5" i="166" s="1"/>
  <c r="G507" i="65"/>
  <c r="AZ4" i="166" s="1"/>
  <c r="G506" i="65"/>
  <c r="AZ3" i="166" s="1"/>
  <c r="G505" i="65"/>
  <c r="AZ2" i="166" s="1"/>
  <c r="C102" i="36"/>
  <c r="D102" i="36"/>
  <c r="M101" i="36" s="1"/>
  <c r="B17" i="114"/>
  <c r="EE5" i="1" s="1"/>
  <c r="B15" i="114"/>
  <c r="EE3" i="1" s="1"/>
  <c r="B14" i="114"/>
  <c r="EE2" i="1" s="1"/>
  <c r="D495" i="65"/>
  <c r="G495" i="65" s="1"/>
  <c r="AY2" i="166" s="1"/>
  <c r="D9" i="113"/>
  <c r="B16" i="113"/>
  <c r="G501" i="65"/>
  <c r="AY8" i="166" s="1"/>
  <c r="G500" i="65"/>
  <c r="AY7" i="166" s="1"/>
  <c r="G499" i="65"/>
  <c r="AY6" i="166" s="1"/>
  <c r="G498" i="65"/>
  <c r="AY5" i="166" s="1"/>
  <c r="G497" i="65"/>
  <c r="AY4" i="166" s="1"/>
  <c r="G496" i="65"/>
  <c r="AY3" i="166" s="1"/>
  <c r="B17" i="113"/>
  <c r="ED5" i="1"/>
  <c r="B15" i="113"/>
  <c r="B14" i="113"/>
  <c r="ED2" i="1" s="1"/>
  <c r="G491" i="65"/>
  <c r="AX8" i="166" s="1"/>
  <c r="G490" i="65"/>
  <c r="AX7" i="166" s="1"/>
  <c r="G489" i="65"/>
  <c r="AX6" i="166" s="1"/>
  <c r="G488" i="65"/>
  <c r="AX5" i="166" s="1"/>
  <c r="G487" i="65"/>
  <c r="AX4" i="166" s="1"/>
  <c r="G486" i="65"/>
  <c r="AX3" i="166" s="1"/>
  <c r="G485" i="65"/>
  <c r="AX2" i="166" s="1"/>
  <c r="D101" i="36"/>
  <c r="M100" i="36" s="1"/>
  <c r="B101" i="36"/>
  <c r="G101" i="36" s="1"/>
  <c r="C101" i="36"/>
  <c r="B100" i="36"/>
  <c r="G100" i="36" s="1"/>
  <c r="B17" i="112"/>
  <c r="EC5" i="1" s="1"/>
  <c r="B16" i="112"/>
  <c r="EC4" i="1" s="1"/>
  <c r="B15" i="112"/>
  <c r="EC3" i="1" s="1"/>
  <c r="B14" i="112"/>
  <c r="EC2" i="1" s="1"/>
  <c r="G481" i="65"/>
  <c r="AW8" i="166" s="1"/>
  <c r="G480" i="65"/>
  <c r="AW7" i="166" s="1"/>
  <c r="G479" i="65"/>
  <c r="AW6" i="166" s="1"/>
  <c r="G478" i="65"/>
  <c r="AW5" i="166" s="1"/>
  <c r="G477" i="65"/>
  <c r="AW4" i="166" s="1"/>
  <c r="G476" i="65"/>
  <c r="AW3" i="166" s="1"/>
  <c r="G475" i="65"/>
  <c r="AW2" i="166" s="1"/>
  <c r="C100" i="36"/>
  <c r="D100" i="36"/>
  <c r="B17" i="111"/>
  <c r="EB5" i="1"/>
  <c r="B16" i="111"/>
  <c r="EB4" i="1" s="1"/>
  <c r="B15" i="111"/>
  <c r="EB3" i="1"/>
  <c r="B14" i="111"/>
  <c r="EB2" i="1"/>
  <c r="D99" i="36"/>
  <c r="M98" i="36" s="1"/>
  <c r="C99" i="36"/>
  <c r="H98" i="36" s="1"/>
  <c r="B99" i="36"/>
  <c r="G99" i="36" s="1"/>
  <c r="G471" i="65"/>
  <c r="AV8" i="166" s="1"/>
  <c r="G470" i="65"/>
  <c r="AV7" i="166" s="1"/>
  <c r="G469" i="65"/>
  <c r="AV6" i="166" s="1"/>
  <c r="G468" i="65"/>
  <c r="AV5" i="166" s="1"/>
  <c r="G467" i="65"/>
  <c r="AV4" i="166" s="1"/>
  <c r="G466" i="65"/>
  <c r="AV3" i="166" s="1"/>
  <c r="G465" i="65"/>
  <c r="AV2" i="166" s="1"/>
  <c r="B17" i="110"/>
  <c r="EA5" i="1" s="1"/>
  <c r="B16" i="110"/>
  <c r="EA4" i="1" s="1"/>
  <c r="B15" i="110"/>
  <c r="EA3" i="1" s="1"/>
  <c r="B14" i="110"/>
  <c r="EA2" i="1" s="1"/>
  <c r="G461" i="65"/>
  <c r="AU8" i="166" s="1"/>
  <c r="G460" i="65"/>
  <c r="AU7" i="166" s="1"/>
  <c r="G459" i="65"/>
  <c r="AU6" i="166" s="1"/>
  <c r="G449" i="65"/>
  <c r="AT6" i="166" s="1"/>
  <c r="G458" i="65"/>
  <c r="AU5" i="166" s="1"/>
  <c r="G457" i="65"/>
  <c r="AU4" i="166" s="1"/>
  <c r="G456" i="65"/>
  <c r="AU3" i="166" s="1"/>
  <c r="G455" i="65"/>
  <c r="AU2" i="166" s="1"/>
  <c r="D98" i="36"/>
  <c r="M97" i="36" s="1"/>
  <c r="C98" i="36"/>
  <c r="B98" i="36"/>
  <c r="G98" i="36" s="1"/>
  <c r="B17" i="109"/>
  <c r="DZ5" i="1"/>
  <c r="B16" i="109"/>
  <c r="DZ4" i="1"/>
  <c r="B15" i="109"/>
  <c r="DZ3" i="1"/>
  <c r="B14" i="109"/>
  <c r="DZ2" i="1" s="1"/>
  <c r="G451" i="65"/>
  <c r="AT8" i="166" s="1"/>
  <c r="G450" i="65"/>
  <c r="AT7" i="166" s="1"/>
  <c r="G448" i="65"/>
  <c r="AT5" i="166" s="1"/>
  <c r="G447" i="65"/>
  <c r="AT4" i="166" s="1"/>
  <c r="G446" i="65"/>
  <c r="AT3" i="166" s="1"/>
  <c r="G445" i="65"/>
  <c r="AT2" i="166" s="1"/>
  <c r="D96" i="36"/>
  <c r="D97" i="36"/>
  <c r="C97" i="36"/>
  <c r="H96" i="36" s="1"/>
  <c r="B97" i="36"/>
  <c r="P97" i="36" s="1"/>
  <c r="B96" i="36"/>
  <c r="G96" i="36" s="1"/>
  <c r="B17" i="108"/>
  <c r="DY5" i="1" s="1"/>
  <c r="B16" i="108"/>
  <c r="DY4" i="1" s="1"/>
  <c r="B15" i="108"/>
  <c r="DY3" i="1" s="1"/>
  <c r="B14" i="108"/>
  <c r="G441" i="65"/>
  <c r="AS8" i="166" s="1"/>
  <c r="G440" i="65"/>
  <c r="AS7" i="166" s="1"/>
  <c r="G439" i="65"/>
  <c r="AS6" i="166" s="1"/>
  <c r="G438" i="65"/>
  <c r="AS5" i="166" s="1"/>
  <c r="G437" i="65"/>
  <c r="AS4" i="166" s="1"/>
  <c r="G436" i="65"/>
  <c r="AS3" i="166" s="1"/>
  <c r="G435" i="65"/>
  <c r="AS2" i="166" s="1"/>
  <c r="H331" i="65"/>
  <c r="C96" i="36"/>
  <c r="B17" i="107"/>
  <c r="DX5" i="1" s="1"/>
  <c r="B16" i="107"/>
  <c r="DX4" i="1" s="1"/>
  <c r="B15" i="107"/>
  <c r="DX3" i="1" s="1"/>
  <c r="B14" i="107"/>
  <c r="DX2" i="1" s="1"/>
  <c r="G431" i="65"/>
  <c r="AR8" i="166" s="1"/>
  <c r="G430" i="65"/>
  <c r="AR7" i="166" s="1"/>
  <c r="G429" i="65"/>
  <c r="AR6" i="166" s="1"/>
  <c r="G428" i="65"/>
  <c r="AR5" i="166" s="1"/>
  <c r="G427" i="65"/>
  <c r="AR4" i="166" s="1"/>
  <c r="G426" i="65"/>
  <c r="AR3" i="166" s="1"/>
  <c r="G425" i="65"/>
  <c r="AR2" i="166" s="1"/>
  <c r="G410" i="65"/>
  <c r="AP8" i="166" s="1"/>
  <c r="G409" i="65"/>
  <c r="AP7" i="166" s="1"/>
  <c r="G408" i="65"/>
  <c r="AP6" i="166" s="1"/>
  <c r="G407" i="65"/>
  <c r="AP5" i="166" s="1"/>
  <c r="G406" i="65"/>
  <c r="AP4" i="166" s="1"/>
  <c r="G405" i="65"/>
  <c r="AP3" i="166" s="1"/>
  <c r="G404" i="65"/>
  <c r="AP2" i="166" s="1"/>
  <c r="G418" i="65"/>
  <c r="AQ5" i="166" s="1"/>
  <c r="G417" i="65"/>
  <c r="G421" i="65"/>
  <c r="AQ8" i="166" s="1"/>
  <c r="G420" i="65"/>
  <c r="AQ7" i="166" s="1"/>
  <c r="G419" i="65"/>
  <c r="AQ6" i="166" s="1"/>
  <c r="G416" i="65"/>
  <c r="G415" i="65"/>
  <c r="AQ3" i="166" s="1"/>
  <c r="G414" i="65"/>
  <c r="AQ2" i="166" s="1"/>
  <c r="D95" i="36"/>
  <c r="M94" i="36" s="1"/>
  <c r="C95" i="36"/>
  <c r="H94" i="36" s="1"/>
  <c r="B95" i="36"/>
  <c r="G95" i="36" s="1"/>
  <c r="B17" i="106"/>
  <c r="DW5" i="1"/>
  <c r="B16" i="106"/>
  <c r="DW4" i="1" s="1"/>
  <c r="B15" i="106"/>
  <c r="B14" i="106"/>
  <c r="D94" i="36"/>
  <c r="M93" i="36" s="1"/>
  <c r="C94" i="36"/>
  <c r="H93" i="36" s="1"/>
  <c r="B94" i="36"/>
  <c r="G94" i="36" s="1"/>
  <c r="B17" i="105"/>
  <c r="DV5" i="1" s="1"/>
  <c r="B16" i="105"/>
  <c r="DV4" i="1" s="1"/>
  <c r="B15" i="105"/>
  <c r="DV3" i="1" s="1"/>
  <c r="B14" i="105"/>
  <c r="D93" i="36"/>
  <c r="M92" i="36" s="1"/>
  <c r="C93" i="36"/>
  <c r="H92" i="36" s="1"/>
  <c r="B93" i="36"/>
  <c r="G93" i="36" s="1"/>
  <c r="B92" i="36"/>
  <c r="G92" i="36" s="1"/>
  <c r="B17" i="104"/>
  <c r="DU5" i="1" s="1"/>
  <c r="B16" i="104"/>
  <c r="DU4" i="1"/>
  <c r="B15" i="104"/>
  <c r="B14" i="104"/>
  <c r="HX27" i="1"/>
  <c r="G400" i="65"/>
  <c r="AO8" i="166" s="1"/>
  <c r="G399" i="65"/>
  <c r="AO7" i="166" s="1"/>
  <c r="G398" i="65"/>
  <c r="AO6" i="166" s="1"/>
  <c r="G397" i="65"/>
  <c r="AO5" i="166" s="1"/>
  <c r="G396" i="65"/>
  <c r="AO4" i="166" s="1"/>
  <c r="G395" i="65"/>
  <c r="AO3" i="166" s="1"/>
  <c r="G394" i="65"/>
  <c r="AO2" i="166" s="1"/>
  <c r="D92" i="36"/>
  <c r="M91" i="36" s="1"/>
  <c r="C92" i="36"/>
  <c r="B91" i="36"/>
  <c r="G91" i="36" s="1"/>
  <c r="B17" i="103"/>
  <c r="DT5" i="1" s="1"/>
  <c r="B16" i="103"/>
  <c r="DT4" i="1" s="1"/>
  <c r="B15" i="103"/>
  <c r="DT3" i="1" s="1"/>
  <c r="B14" i="103"/>
  <c r="DT2" i="1" s="1"/>
  <c r="HX28" i="1"/>
  <c r="C88" i="36"/>
  <c r="H87" i="36" s="1"/>
  <c r="D88" i="36"/>
  <c r="M87" i="36" s="1"/>
  <c r="C89" i="36"/>
  <c r="D89" i="36"/>
  <c r="M88" i="36" s="1"/>
  <c r="C90" i="36"/>
  <c r="H89" i="36" s="1"/>
  <c r="D90" i="36"/>
  <c r="M89" i="36" s="1"/>
  <c r="C91" i="36"/>
  <c r="H90" i="36" s="1"/>
  <c r="D91" i="36"/>
  <c r="M90" i="36" s="1"/>
  <c r="B90" i="36"/>
  <c r="G90" i="36" s="1"/>
  <c r="B89" i="36"/>
  <c r="G89" i="36" s="1"/>
  <c r="I89" i="36" s="1"/>
  <c r="G390" i="65"/>
  <c r="AN8" i="166" s="1"/>
  <c r="G389" i="65"/>
  <c r="AN7" i="166" s="1"/>
  <c r="G388" i="65"/>
  <c r="AN6" i="166" s="1"/>
  <c r="G387" i="65"/>
  <c r="AN5" i="166" s="1"/>
  <c r="G386" i="65"/>
  <c r="AN4" i="166" s="1"/>
  <c r="G385" i="65"/>
  <c r="AN3" i="166" s="1"/>
  <c r="G384" i="65"/>
  <c r="AN2" i="166" s="1"/>
  <c r="B17" i="102"/>
  <c r="DS5" i="1"/>
  <c r="B16" i="102"/>
  <c r="DS4" i="1" s="1"/>
  <c r="B15" i="102"/>
  <c r="B14" i="102"/>
  <c r="DS2" i="1" s="1"/>
  <c r="G380" i="65"/>
  <c r="AM8" i="166" s="1"/>
  <c r="G379" i="65"/>
  <c r="AM7" i="166" s="1"/>
  <c r="G378" i="65"/>
  <c r="AM6" i="166" s="1"/>
  <c r="G377" i="65"/>
  <c r="AM5" i="166" s="1"/>
  <c r="G376" i="65"/>
  <c r="AM4" i="166" s="1"/>
  <c r="G375" i="65"/>
  <c r="AM3" i="166" s="1"/>
  <c r="G374" i="65"/>
  <c r="AM2" i="166" s="1"/>
  <c r="B17" i="101"/>
  <c r="DR5" i="1"/>
  <c r="B16" i="101"/>
  <c r="DR4" i="1"/>
  <c r="B15" i="101"/>
  <c r="B14" i="101"/>
  <c r="G340" i="65"/>
  <c r="AI8" i="166" s="1"/>
  <c r="G339" i="65"/>
  <c r="AI7" i="166" s="1"/>
  <c r="G338" i="65"/>
  <c r="AI6" i="166" s="1"/>
  <c r="G337" i="65"/>
  <c r="AI5" i="166" s="1"/>
  <c r="G336" i="65"/>
  <c r="AI4" i="166" s="1"/>
  <c r="G335" i="65"/>
  <c r="AI3" i="166" s="1"/>
  <c r="G334" i="65"/>
  <c r="AI2" i="166" s="1"/>
  <c r="G370" i="65"/>
  <c r="AL8" i="166" s="1"/>
  <c r="G369" i="65"/>
  <c r="AL7" i="166" s="1"/>
  <c r="G368" i="65"/>
  <c r="AL6" i="166" s="1"/>
  <c r="G367" i="65"/>
  <c r="AL5" i="166" s="1"/>
  <c r="G366" i="65"/>
  <c r="AL4" i="166" s="1"/>
  <c r="G365" i="65"/>
  <c r="AL3" i="166" s="1"/>
  <c r="G364" i="65"/>
  <c r="AL2" i="166" s="1"/>
  <c r="B17" i="100"/>
  <c r="DQ5" i="1"/>
  <c r="B16" i="100"/>
  <c r="DQ4" i="1"/>
  <c r="B15" i="100"/>
  <c r="DQ3" i="1"/>
  <c r="B14" i="100"/>
  <c r="DQ2" i="1"/>
  <c r="G360" i="65"/>
  <c r="AK8" i="166" s="1"/>
  <c r="G359" i="65"/>
  <c r="AK7" i="166" s="1"/>
  <c r="G358" i="65"/>
  <c r="AK6" i="166" s="1"/>
  <c r="G357" i="65"/>
  <c r="AK5" i="166" s="1"/>
  <c r="G356" i="65"/>
  <c r="AK4" i="166" s="1"/>
  <c r="G355" i="65"/>
  <c r="AK3" i="166" s="1"/>
  <c r="G354" i="65"/>
  <c r="AK2" i="166" s="1"/>
  <c r="B88" i="36"/>
  <c r="G88" i="36" s="1"/>
  <c r="B17" i="99"/>
  <c r="DP5" i="1" s="1"/>
  <c r="B16" i="99"/>
  <c r="DP4" i="1" s="1"/>
  <c r="B15" i="99"/>
  <c r="DP3" i="1" s="1"/>
  <c r="B14" i="99"/>
  <c r="DP2" i="1" s="1"/>
  <c r="G350" i="65"/>
  <c r="AJ8" i="166" s="1"/>
  <c r="G349" i="65"/>
  <c r="AJ7" i="166" s="1"/>
  <c r="G348" i="65"/>
  <c r="AJ6" i="166" s="1"/>
  <c r="G347" i="65"/>
  <c r="AJ5" i="166" s="1"/>
  <c r="G346" i="65"/>
  <c r="AJ4" i="166" s="1"/>
  <c r="G345" i="65"/>
  <c r="AJ3" i="166" s="1"/>
  <c r="G344" i="65"/>
  <c r="AJ2" i="166" s="1"/>
  <c r="D87" i="36"/>
  <c r="M86" i="36" s="1"/>
  <c r="C87" i="36"/>
  <c r="L87" i="36" s="1"/>
  <c r="B87" i="36"/>
  <c r="G87" i="36" s="1"/>
  <c r="D86" i="36"/>
  <c r="M85" i="36" s="1"/>
  <c r="C86" i="36"/>
  <c r="B86" i="36"/>
  <c r="G86" i="36" s="1"/>
  <c r="B85" i="36"/>
  <c r="G85" i="36" s="1"/>
  <c r="B17" i="98"/>
  <c r="DO5" i="1" s="1"/>
  <c r="B16" i="98"/>
  <c r="DO4" i="1" s="1"/>
  <c r="B15" i="98"/>
  <c r="DO3" i="1" s="1"/>
  <c r="B14" i="98"/>
  <c r="DO2" i="1" s="1"/>
  <c r="B17" i="97"/>
  <c r="DN5" i="1" s="1"/>
  <c r="B16" i="97"/>
  <c r="DN4" i="1" s="1"/>
  <c r="B15" i="97"/>
  <c r="DN3" i="1" s="1"/>
  <c r="B14" i="97"/>
  <c r="DN2" i="1" s="1"/>
  <c r="G330" i="65"/>
  <c r="AH8" i="166" s="1"/>
  <c r="G329" i="65"/>
  <c r="AH7" i="166" s="1"/>
  <c r="G328" i="65"/>
  <c r="AH6" i="166" s="1"/>
  <c r="G327" i="65"/>
  <c r="AH5" i="166" s="1"/>
  <c r="G326" i="65"/>
  <c r="AH4" i="166" s="1"/>
  <c r="G325" i="65"/>
  <c r="AH3" i="166" s="1"/>
  <c r="G324" i="65"/>
  <c r="AH2" i="166" s="1"/>
  <c r="D85" i="36"/>
  <c r="M84" i="36" s="1"/>
  <c r="C85" i="36"/>
  <c r="H84" i="36" s="1"/>
  <c r="B84" i="36"/>
  <c r="B17" i="96"/>
  <c r="DM5" i="1" s="1"/>
  <c r="B16" i="96"/>
  <c r="B15" i="96"/>
  <c r="DM3" i="1" s="1"/>
  <c r="B14" i="96"/>
  <c r="DM2" i="1" s="1"/>
  <c r="G305" i="65"/>
  <c r="AF4" i="166" s="1"/>
  <c r="G315" i="65"/>
  <c r="AG4" i="166" s="1"/>
  <c r="G319" i="65"/>
  <c r="AG8" i="166" s="1"/>
  <c r="G318" i="65"/>
  <c r="AG7" i="166" s="1"/>
  <c r="G317" i="65"/>
  <c r="AG6" i="166" s="1"/>
  <c r="G316" i="65"/>
  <c r="AG5" i="166" s="1"/>
  <c r="G314" i="65"/>
  <c r="AG3" i="166" s="1"/>
  <c r="G313" i="65"/>
  <c r="AG2" i="166" s="1"/>
  <c r="D84" i="36"/>
  <c r="M83" i="36" s="1"/>
  <c r="C84" i="36"/>
  <c r="H83" i="36" s="1"/>
  <c r="B17" i="95"/>
  <c r="DL5" i="1" s="1"/>
  <c r="B16" i="95"/>
  <c r="DL4" i="1" s="1"/>
  <c r="B15" i="95"/>
  <c r="DL3" i="1" s="1"/>
  <c r="B14" i="95"/>
  <c r="DL2" i="1"/>
  <c r="C83" i="36"/>
  <c r="P84" i="36" s="1"/>
  <c r="D83" i="36"/>
  <c r="M82" i="36" s="1"/>
  <c r="B83" i="36"/>
  <c r="G309" i="65"/>
  <c r="AF8" i="166" s="1"/>
  <c r="G308" i="65"/>
  <c r="AF7" i="166" s="1"/>
  <c r="G307" i="65"/>
  <c r="AF6" i="166" s="1"/>
  <c r="G306" i="65"/>
  <c r="AF5" i="166" s="1"/>
  <c r="G304" i="65"/>
  <c r="AF3" i="166" s="1"/>
  <c r="G303" i="65"/>
  <c r="AF2" i="166" s="1"/>
  <c r="B17" i="94"/>
  <c r="DK5" i="1" s="1"/>
  <c r="B16" i="94"/>
  <c r="DK4" i="1" s="1"/>
  <c r="B15" i="94"/>
  <c r="DK3" i="1" s="1"/>
  <c r="B14" i="94"/>
  <c r="G299" i="65"/>
  <c r="AE8" i="166" s="1"/>
  <c r="G298" i="65"/>
  <c r="AE7" i="166" s="1"/>
  <c r="G297" i="65"/>
  <c r="AE6" i="166" s="1"/>
  <c r="G296" i="65"/>
  <c r="AE5" i="166" s="1"/>
  <c r="G295" i="65"/>
  <c r="AE4" i="166" s="1"/>
  <c r="G294" i="65"/>
  <c r="AE3" i="166" s="1"/>
  <c r="G293" i="65"/>
  <c r="AE2" i="166" s="1"/>
  <c r="C82" i="36"/>
  <c r="H81" i="36" s="1"/>
  <c r="D82" i="36"/>
  <c r="M81" i="36" s="1"/>
  <c r="B82" i="36"/>
  <c r="G82" i="36" s="1"/>
  <c r="B17" i="93"/>
  <c r="B16" i="93"/>
  <c r="DJ4" i="1" s="1"/>
  <c r="B15" i="93"/>
  <c r="DJ3" i="1" s="1"/>
  <c r="B14" i="93"/>
  <c r="DJ2" i="1" s="1"/>
  <c r="G289" i="65"/>
  <c r="AD8" i="166" s="1"/>
  <c r="G288" i="65"/>
  <c r="AD7" i="166" s="1"/>
  <c r="G287" i="65"/>
  <c r="AD6" i="166" s="1"/>
  <c r="G286" i="65"/>
  <c r="AD5" i="166" s="1"/>
  <c r="G285" i="65"/>
  <c r="AD4" i="166" s="1"/>
  <c r="G284" i="65"/>
  <c r="AD3" i="166" s="1"/>
  <c r="G283" i="65"/>
  <c r="AD2" i="166" s="1"/>
  <c r="C81" i="36"/>
  <c r="H80" i="36" s="1"/>
  <c r="D81" i="36"/>
  <c r="M80" i="36" s="1"/>
  <c r="B81" i="36"/>
  <c r="B17" i="92"/>
  <c r="DI5" i="1"/>
  <c r="B16" i="92"/>
  <c r="DI4" i="1"/>
  <c r="B15" i="92"/>
  <c r="B14" i="92"/>
  <c r="G279" i="65"/>
  <c r="AC8" i="166" s="1"/>
  <c r="G278" i="65"/>
  <c r="AC7" i="166" s="1"/>
  <c r="G277" i="65"/>
  <c r="AC6" i="166" s="1"/>
  <c r="G276" i="65"/>
  <c r="AC5" i="166" s="1"/>
  <c r="G275" i="65"/>
  <c r="AC4" i="166" s="1"/>
  <c r="G274" i="65"/>
  <c r="AC3" i="166" s="1"/>
  <c r="G273" i="65"/>
  <c r="AC2" i="166" s="1"/>
  <c r="C80" i="36"/>
  <c r="H79" i="36" s="1"/>
  <c r="D80" i="36"/>
  <c r="M79" i="36" s="1"/>
  <c r="B80" i="36"/>
  <c r="G80" i="36" s="1"/>
  <c r="B17" i="91"/>
  <c r="DH5" i="1" s="1"/>
  <c r="B16" i="91"/>
  <c r="B15" i="91"/>
  <c r="B14" i="91"/>
  <c r="DH2" i="1" s="1"/>
  <c r="G269" i="65"/>
  <c r="AB8" i="166" s="1"/>
  <c r="G268" i="65"/>
  <c r="AB7" i="166" s="1"/>
  <c r="G267" i="65"/>
  <c r="AB6" i="166" s="1"/>
  <c r="G266" i="65"/>
  <c r="AB5" i="166" s="1"/>
  <c r="G265" i="65"/>
  <c r="AB4" i="166" s="1"/>
  <c r="G264" i="65"/>
  <c r="AB3" i="166" s="1"/>
  <c r="G263" i="65"/>
  <c r="AB2" i="166" s="1"/>
  <c r="C79" i="36"/>
  <c r="H78" i="36" s="1"/>
  <c r="D79" i="36"/>
  <c r="B79" i="36"/>
  <c r="G79" i="36" s="1"/>
  <c r="I79" i="36" s="1"/>
  <c r="B17" i="90"/>
  <c r="DG5" i="1"/>
  <c r="B16" i="90"/>
  <c r="DG4" i="1"/>
  <c r="B15" i="90"/>
  <c r="DG3" i="1"/>
  <c r="B14" i="90"/>
  <c r="G253" i="65"/>
  <c r="AA3" i="166" s="1"/>
  <c r="G254" i="65"/>
  <c r="G255" i="65"/>
  <c r="G256" i="65"/>
  <c r="AA5" i="166" s="1"/>
  <c r="G257" i="65"/>
  <c r="AA6" i="166" s="1"/>
  <c r="G258" i="65"/>
  <c r="AA7" i="166" s="1"/>
  <c r="G259" i="65"/>
  <c r="AA8" i="166" s="1"/>
  <c r="G252" i="65"/>
  <c r="AA2" i="166" s="1"/>
  <c r="C78" i="36"/>
  <c r="D78" i="36"/>
  <c r="M77" i="36" s="1"/>
  <c r="B78" i="36"/>
  <c r="G78" i="36" s="1"/>
  <c r="B17" i="89"/>
  <c r="DF5" i="1" s="1"/>
  <c r="B16" i="89"/>
  <c r="DF4" i="1"/>
  <c r="B15" i="89"/>
  <c r="DF3" i="1" s="1"/>
  <c r="B14" i="89"/>
  <c r="G248" i="65"/>
  <c r="Z8" i="166" s="1"/>
  <c r="G247" i="65"/>
  <c r="Z7" i="166" s="1"/>
  <c r="G246" i="65"/>
  <c r="Z6" i="166" s="1"/>
  <c r="G245" i="65"/>
  <c r="Z5" i="166" s="1"/>
  <c r="G244" i="65"/>
  <c r="Z4" i="166" s="1"/>
  <c r="G243" i="65"/>
  <c r="Z3" i="166" s="1"/>
  <c r="G242" i="65"/>
  <c r="Z2" i="166" s="1"/>
  <c r="C77" i="36"/>
  <c r="H76" i="36" s="1"/>
  <c r="D77" i="36"/>
  <c r="B77" i="36"/>
  <c r="G77" i="36" s="1"/>
  <c r="B17" i="88"/>
  <c r="DE5" i="1"/>
  <c r="B16" i="88"/>
  <c r="DE4" i="1" s="1"/>
  <c r="B15" i="88"/>
  <c r="DE3" i="1" s="1"/>
  <c r="B14" i="88"/>
  <c r="DE2" i="1" s="1"/>
  <c r="G238" i="65"/>
  <c r="Y8" i="166" s="1"/>
  <c r="G237" i="65"/>
  <c r="Y7" i="166" s="1"/>
  <c r="G236" i="65"/>
  <c r="Y6" i="166" s="1"/>
  <c r="G235" i="65"/>
  <c r="Y5" i="166" s="1"/>
  <c r="G234" i="65"/>
  <c r="Y4" i="166" s="1"/>
  <c r="G233" i="65"/>
  <c r="Y3" i="166" s="1"/>
  <c r="G232" i="65"/>
  <c r="Y2" i="166" s="1"/>
  <c r="C76" i="36"/>
  <c r="L76" i="36" s="1"/>
  <c r="D76" i="36"/>
  <c r="B76" i="36"/>
  <c r="B17" i="87"/>
  <c r="DD5" i="1" s="1"/>
  <c r="B16" i="87"/>
  <c r="DD4" i="1" s="1"/>
  <c r="B15" i="87"/>
  <c r="B14" i="87"/>
  <c r="DD2" i="1" s="1"/>
  <c r="G228" i="65"/>
  <c r="X8" i="166" s="1"/>
  <c r="G227" i="65"/>
  <c r="X7" i="166" s="1"/>
  <c r="G226" i="65"/>
  <c r="X6" i="166" s="1"/>
  <c r="G225" i="65"/>
  <c r="X5" i="166" s="1"/>
  <c r="G224" i="65"/>
  <c r="X4" i="166" s="1"/>
  <c r="G223" i="65"/>
  <c r="X3" i="166" s="1"/>
  <c r="G222" i="65"/>
  <c r="X2" i="166" s="1"/>
  <c r="C75" i="36"/>
  <c r="H74" i="36" s="1"/>
  <c r="D75" i="36"/>
  <c r="M74" i="36" s="1"/>
  <c r="B75" i="36"/>
  <c r="G75" i="36" s="1"/>
  <c r="B17" i="86"/>
  <c r="DC5" i="1" s="1"/>
  <c r="B16" i="86"/>
  <c r="DC4" i="1" s="1"/>
  <c r="B15" i="86"/>
  <c r="DC3" i="1" s="1"/>
  <c r="B14" i="86"/>
  <c r="G212" i="65"/>
  <c r="W2" i="166" s="1"/>
  <c r="G213" i="65"/>
  <c r="W3" i="166" s="1"/>
  <c r="G214" i="65"/>
  <c r="W4" i="166" s="1"/>
  <c r="G215" i="65"/>
  <c r="W5" i="166" s="1"/>
  <c r="G216" i="65"/>
  <c r="W6" i="166" s="1"/>
  <c r="G217" i="65"/>
  <c r="W7" i="166" s="1"/>
  <c r="G218" i="65"/>
  <c r="W8" i="166" s="1"/>
  <c r="C74" i="36"/>
  <c r="H73" i="36" s="1"/>
  <c r="D74" i="36"/>
  <c r="L74" i="36" s="1"/>
  <c r="B74" i="36"/>
  <c r="G74" i="36" s="1"/>
  <c r="B17" i="85"/>
  <c r="DB5" i="1" s="1"/>
  <c r="B16" i="85"/>
  <c r="DB4" i="1" s="1"/>
  <c r="B15" i="85"/>
  <c r="DB3" i="1" s="1"/>
  <c r="B14" i="85"/>
  <c r="G208" i="65"/>
  <c r="V8" i="166" s="1"/>
  <c r="G207" i="65"/>
  <c r="V7" i="166" s="1"/>
  <c r="G206" i="65"/>
  <c r="V6" i="166" s="1"/>
  <c r="G205" i="65"/>
  <c r="V5" i="166" s="1"/>
  <c r="G204" i="65"/>
  <c r="V4" i="166" s="1"/>
  <c r="G203" i="65"/>
  <c r="V3" i="166" s="1"/>
  <c r="G202" i="65"/>
  <c r="V2" i="166" s="1"/>
  <c r="C73" i="36"/>
  <c r="H72" i="36" s="1"/>
  <c r="D73" i="36"/>
  <c r="M72" i="36" s="1"/>
  <c r="B73" i="36"/>
  <c r="G73" i="36" s="1"/>
  <c r="B17" i="84"/>
  <c r="B16" i="84"/>
  <c r="DA4" i="1" s="1"/>
  <c r="B15" i="84"/>
  <c r="DA3" i="1"/>
  <c r="B14" i="84"/>
  <c r="DA2" i="1" s="1"/>
  <c r="G198" i="65"/>
  <c r="U8" i="166" s="1"/>
  <c r="G197" i="65"/>
  <c r="U7" i="166" s="1"/>
  <c r="G196" i="65"/>
  <c r="U6" i="166" s="1"/>
  <c r="G195" i="65"/>
  <c r="U5" i="166" s="1"/>
  <c r="G194" i="65"/>
  <c r="U4" i="166" s="1"/>
  <c r="G193" i="65"/>
  <c r="U3" i="166" s="1"/>
  <c r="G192" i="65"/>
  <c r="U2" i="166" s="1"/>
  <c r="C72" i="36"/>
  <c r="H71" i="36" s="1"/>
  <c r="D72" i="36"/>
  <c r="B72" i="36"/>
  <c r="G72" i="36" s="1"/>
  <c r="I72" i="36" s="1"/>
  <c r="B20" i="83"/>
  <c r="CZ5" i="1" s="1"/>
  <c r="B19" i="83"/>
  <c r="CZ4" i="1" s="1"/>
  <c r="B18" i="83"/>
  <c r="CZ3" i="1" s="1"/>
  <c r="B17" i="83"/>
  <c r="G188" i="65"/>
  <c r="T8" i="166" s="1"/>
  <c r="G187" i="65"/>
  <c r="T7" i="166" s="1"/>
  <c r="G186" i="65"/>
  <c r="T6" i="166" s="1"/>
  <c r="G185" i="65"/>
  <c r="T5" i="166" s="1"/>
  <c r="G184" i="65"/>
  <c r="T4" i="166" s="1"/>
  <c r="G183" i="65"/>
  <c r="T3" i="166" s="1"/>
  <c r="G182" i="65"/>
  <c r="T2" i="166" s="1"/>
  <c r="C71" i="36"/>
  <c r="D71" i="36"/>
  <c r="M70" i="36" s="1"/>
  <c r="B71" i="36"/>
  <c r="B20" i="82"/>
  <c r="CY5" i="1" s="1"/>
  <c r="B19" i="82"/>
  <c r="CY4" i="1" s="1"/>
  <c r="B18" i="82"/>
  <c r="CY3" i="1"/>
  <c r="B17" i="82"/>
  <c r="G178" i="65"/>
  <c r="S8" i="166" s="1"/>
  <c r="G177" i="65"/>
  <c r="S7" i="166" s="1"/>
  <c r="G176" i="65"/>
  <c r="S6" i="166" s="1"/>
  <c r="G175" i="65"/>
  <c r="S5" i="166" s="1"/>
  <c r="G174" i="65"/>
  <c r="S4" i="166" s="1"/>
  <c r="G173" i="65"/>
  <c r="S3" i="166" s="1"/>
  <c r="G172" i="65"/>
  <c r="S2" i="166" s="1"/>
  <c r="C70" i="36"/>
  <c r="H69" i="36" s="1"/>
  <c r="D70" i="36"/>
  <c r="M69" i="36" s="1"/>
  <c r="B70" i="36"/>
  <c r="G70" i="36" s="1"/>
  <c r="B20" i="81"/>
  <c r="CX5" i="1"/>
  <c r="B19" i="81"/>
  <c r="CX4" i="1"/>
  <c r="B18" i="81"/>
  <c r="B17" i="81"/>
  <c r="CX2" i="1" s="1"/>
  <c r="G168" i="65"/>
  <c r="R8" i="166" s="1"/>
  <c r="G167" i="65"/>
  <c r="R7" i="166" s="1"/>
  <c r="G166" i="65"/>
  <c r="R6" i="166" s="1"/>
  <c r="G165" i="65"/>
  <c r="R5" i="166" s="1"/>
  <c r="G164" i="65"/>
  <c r="R4" i="166" s="1"/>
  <c r="G163" i="65"/>
  <c r="R3" i="166" s="1"/>
  <c r="G162" i="65"/>
  <c r="R2" i="166" s="1"/>
  <c r="C69" i="36"/>
  <c r="H68" i="36" s="1"/>
  <c r="I68" i="36" s="1"/>
  <c r="D69" i="36"/>
  <c r="M68" i="36" s="1"/>
  <c r="B69" i="36"/>
  <c r="G69" i="36" s="1"/>
  <c r="B20" i="80"/>
  <c r="CW5" i="1" s="1"/>
  <c r="B19" i="80"/>
  <c r="CW4" i="1" s="1"/>
  <c r="B18" i="80"/>
  <c r="CW3" i="1" s="1"/>
  <c r="B17" i="80"/>
  <c r="CW2" i="1" s="1"/>
  <c r="AD8" i="1"/>
  <c r="P6" i="1"/>
  <c r="HZ18" i="1"/>
  <c r="HX22" i="1"/>
  <c r="HX23" i="1"/>
  <c r="HX24" i="1"/>
  <c r="K6" i="1"/>
  <c r="L6" i="1"/>
  <c r="M6" i="1"/>
  <c r="N6" i="1"/>
  <c r="O6" i="1"/>
  <c r="Q6" i="1"/>
  <c r="R6" i="1"/>
  <c r="S6" i="1"/>
  <c r="T6" i="1"/>
  <c r="U6" i="1"/>
  <c r="V6" i="1"/>
  <c r="W6" i="1"/>
  <c r="X6" i="1"/>
  <c r="Y6" i="1"/>
  <c r="HY20" i="1" s="1"/>
  <c r="HZ20" i="1" s="1"/>
  <c r="Z6" i="1"/>
  <c r="AA6" i="1"/>
  <c r="AB6" i="1"/>
  <c r="AC6" i="1"/>
  <c r="AD6" i="1"/>
  <c r="AE6" i="1"/>
  <c r="AF6" i="1"/>
  <c r="AG6" i="1"/>
  <c r="AH6" i="1"/>
  <c r="AI6" i="1"/>
  <c r="AJ6" i="1"/>
  <c r="AK6" i="1"/>
  <c r="HY21" i="1" s="1"/>
  <c r="HZ21" i="1" s="1"/>
  <c r="J6" i="1"/>
  <c r="C6" i="1"/>
  <c r="D6" i="1"/>
  <c r="E6" i="1"/>
  <c r="F6" i="1"/>
  <c r="G6" i="1"/>
  <c r="H6" i="1"/>
  <c r="I6" i="1"/>
  <c r="B6" i="1"/>
  <c r="G158" i="65"/>
  <c r="Q8" i="166" s="1"/>
  <c r="G157" i="65"/>
  <c r="Q7" i="166" s="1"/>
  <c r="G156" i="65"/>
  <c r="Q6" i="166" s="1"/>
  <c r="G155" i="65"/>
  <c r="Q5" i="166" s="1"/>
  <c r="G154" i="65"/>
  <c r="Q4" i="166" s="1"/>
  <c r="G153" i="65"/>
  <c r="Q3" i="166" s="1"/>
  <c r="G152" i="65"/>
  <c r="Q2" i="166" s="1"/>
  <c r="C68" i="36"/>
  <c r="L68" i="36" s="1"/>
  <c r="N68" i="36" s="1"/>
  <c r="D68" i="36"/>
  <c r="M67" i="36" s="1"/>
  <c r="B68" i="36"/>
  <c r="G68" i="36" s="1"/>
  <c r="B20" i="79"/>
  <c r="CV5" i="1" s="1"/>
  <c r="B19" i="79"/>
  <c r="CV4" i="1"/>
  <c r="B18" i="79"/>
  <c r="CV3" i="1" s="1"/>
  <c r="B17" i="79"/>
  <c r="CV2" i="1" s="1"/>
  <c r="G148" i="65"/>
  <c r="P8" i="166" s="1"/>
  <c r="G147" i="65"/>
  <c r="P7" i="166" s="1"/>
  <c r="G146" i="65"/>
  <c r="P6" i="166" s="1"/>
  <c r="G145" i="65"/>
  <c r="P5" i="166" s="1"/>
  <c r="G144" i="65"/>
  <c r="P4" i="166" s="1"/>
  <c r="G143" i="65"/>
  <c r="P3" i="166" s="1"/>
  <c r="G142" i="65"/>
  <c r="P2" i="166" s="1"/>
  <c r="C67" i="36"/>
  <c r="D67" i="36"/>
  <c r="M66" i="36" s="1"/>
  <c r="B67" i="36"/>
  <c r="G67" i="36" s="1"/>
  <c r="B20" i="78"/>
  <c r="CU5" i="1" s="1"/>
  <c r="B19" i="78"/>
  <c r="CU4" i="1" s="1"/>
  <c r="B18" i="78"/>
  <c r="B17" i="78"/>
  <c r="CU2" i="1" s="1"/>
  <c r="G138" i="65"/>
  <c r="O8" i="166" s="1"/>
  <c r="G137" i="65"/>
  <c r="O7" i="166" s="1"/>
  <c r="G136" i="65"/>
  <c r="O6" i="166" s="1"/>
  <c r="G135" i="65"/>
  <c r="O5" i="166" s="1"/>
  <c r="G134" i="65"/>
  <c r="O4" i="166" s="1"/>
  <c r="G133" i="65"/>
  <c r="O3" i="166" s="1"/>
  <c r="G132" i="65"/>
  <c r="O2" i="166" s="1"/>
  <c r="C66" i="36"/>
  <c r="L66" i="36" s="1"/>
  <c r="D66" i="36"/>
  <c r="M65" i="36" s="1"/>
  <c r="B66" i="36"/>
  <c r="O23" i="77"/>
  <c r="O19" i="77"/>
  <c r="O13" i="77"/>
  <c r="O10" i="77"/>
  <c r="B20" i="77"/>
  <c r="CT5" i="1" s="1"/>
  <c r="B19" i="77"/>
  <c r="CT4" i="1" s="1"/>
  <c r="B18" i="77"/>
  <c r="B17" i="77"/>
  <c r="CT2" i="1" s="1"/>
  <c r="G128" i="65"/>
  <c r="N8" i="166" s="1"/>
  <c r="G127" i="65"/>
  <c r="N7" i="166" s="1"/>
  <c r="G126" i="65"/>
  <c r="N6" i="166" s="1"/>
  <c r="G125" i="65"/>
  <c r="N5" i="166" s="1"/>
  <c r="G124" i="65"/>
  <c r="N4" i="166" s="1"/>
  <c r="G123" i="65"/>
  <c r="N3" i="166" s="1"/>
  <c r="G122" i="65"/>
  <c r="N2" i="166" s="1"/>
  <c r="B65" i="36"/>
  <c r="G65" i="36" s="1"/>
  <c r="C65" i="36"/>
  <c r="H64" i="36" s="1"/>
  <c r="D65" i="36"/>
  <c r="M64" i="36" s="1"/>
  <c r="O27" i="76"/>
  <c r="O23" i="76"/>
  <c r="O13" i="76"/>
  <c r="O10" i="76"/>
  <c r="B20" i="76"/>
  <c r="CS5" i="1"/>
  <c r="B19" i="76"/>
  <c r="CS4" i="1"/>
  <c r="B18" i="76"/>
  <c r="B17" i="76"/>
  <c r="CS2" i="1" s="1"/>
  <c r="O26" i="75"/>
  <c r="O22" i="75"/>
  <c r="O13" i="75"/>
  <c r="O10" i="75"/>
  <c r="G118" i="65"/>
  <c r="M8" i="166" s="1"/>
  <c r="G117" i="65"/>
  <c r="M7" i="166" s="1"/>
  <c r="G116" i="65"/>
  <c r="M6" i="166" s="1"/>
  <c r="G115" i="65"/>
  <c r="M5" i="166" s="1"/>
  <c r="G114" i="65"/>
  <c r="M4" i="166" s="1"/>
  <c r="G113" i="65"/>
  <c r="M3" i="166" s="1"/>
  <c r="G112" i="65"/>
  <c r="M2" i="166" s="1"/>
  <c r="G108" i="65"/>
  <c r="L8" i="166" s="1"/>
  <c r="G107" i="65"/>
  <c r="L7" i="166" s="1"/>
  <c r="G106" i="65"/>
  <c r="L6" i="166" s="1"/>
  <c r="G105" i="65"/>
  <c r="L5" i="166" s="1"/>
  <c r="G104" i="65"/>
  <c r="L4" i="166" s="1"/>
  <c r="G103" i="65"/>
  <c r="L3" i="166" s="1"/>
  <c r="G102" i="65"/>
  <c r="L2" i="166" s="1"/>
  <c r="C64" i="36"/>
  <c r="H63" i="36" s="1"/>
  <c r="D64" i="36"/>
  <c r="B64" i="36"/>
  <c r="G64" i="36" s="1"/>
  <c r="B20" i="75"/>
  <c r="CR5" i="1"/>
  <c r="B19" i="75"/>
  <c r="CR4" i="1"/>
  <c r="B18" i="75"/>
  <c r="CR3" i="1"/>
  <c r="B17" i="75"/>
  <c r="C63" i="36"/>
  <c r="H62" i="36" s="1"/>
  <c r="D63" i="36"/>
  <c r="B63" i="36"/>
  <c r="G63" i="36" s="1"/>
  <c r="O25" i="74"/>
  <c r="O21" i="74"/>
  <c r="O13" i="74"/>
  <c r="O10" i="74"/>
  <c r="B20" i="74"/>
  <c r="B19" i="74"/>
  <c r="CQ4" i="1" s="1"/>
  <c r="B18" i="74"/>
  <c r="CQ3" i="1"/>
  <c r="B17" i="74"/>
  <c r="CQ2" i="1" s="1"/>
  <c r="D9" i="73"/>
  <c r="B17" i="73"/>
  <c r="CP2" i="1" s="1"/>
  <c r="D92" i="65"/>
  <c r="G92" i="65" s="1"/>
  <c r="K2" i="166" s="1"/>
  <c r="G98" i="65"/>
  <c r="K8" i="166" s="1"/>
  <c r="G97" i="65"/>
  <c r="K7" i="166" s="1"/>
  <c r="G96" i="65"/>
  <c r="K6" i="166" s="1"/>
  <c r="G95" i="65"/>
  <c r="K5" i="166" s="1"/>
  <c r="G94" i="65"/>
  <c r="K4" i="166" s="1"/>
  <c r="G93" i="65"/>
  <c r="K3" i="166" s="1"/>
  <c r="C62" i="36"/>
  <c r="H61" i="36" s="1"/>
  <c r="D62" i="36"/>
  <c r="M61" i="36" s="1"/>
  <c r="O25" i="73"/>
  <c r="O21" i="73"/>
  <c r="O13" i="73"/>
  <c r="O10" i="73"/>
  <c r="B20" i="73"/>
  <c r="CP5" i="1" s="1"/>
  <c r="B18" i="73"/>
  <c r="G88" i="65"/>
  <c r="J8" i="166" s="1"/>
  <c r="G87" i="65"/>
  <c r="J7" i="166" s="1"/>
  <c r="G86" i="65"/>
  <c r="J6" i="166" s="1"/>
  <c r="G85" i="65"/>
  <c r="J5" i="166" s="1"/>
  <c r="G84" i="65"/>
  <c r="J4" i="166" s="1"/>
  <c r="G83" i="65"/>
  <c r="J3" i="166" s="1"/>
  <c r="G82" i="65"/>
  <c r="J2" i="166" s="1"/>
  <c r="O25" i="72"/>
  <c r="O21" i="72"/>
  <c r="O13" i="72"/>
  <c r="O10" i="72"/>
  <c r="C61" i="36"/>
  <c r="H60" i="36" s="1"/>
  <c r="D61" i="36"/>
  <c r="M60" i="36" s="1"/>
  <c r="B61" i="36"/>
  <c r="G61" i="36" s="1"/>
  <c r="B20" i="72"/>
  <c r="CO5" i="1"/>
  <c r="B19" i="72"/>
  <c r="CO4" i="1"/>
  <c r="B18" i="72"/>
  <c r="CO3" i="1"/>
  <c r="B17" i="72"/>
  <c r="G78" i="65"/>
  <c r="I8" i="166" s="1"/>
  <c r="G77" i="65"/>
  <c r="I7" i="166" s="1"/>
  <c r="G76" i="65"/>
  <c r="I6" i="166" s="1"/>
  <c r="G75" i="65"/>
  <c r="I5" i="166" s="1"/>
  <c r="G74" i="65"/>
  <c r="I4" i="166" s="1"/>
  <c r="G73" i="65"/>
  <c r="I3" i="166" s="1"/>
  <c r="G72" i="65"/>
  <c r="I2" i="166" s="1"/>
  <c r="C60" i="36"/>
  <c r="H59" i="36" s="1"/>
  <c r="D60" i="36"/>
  <c r="M59" i="36" s="1"/>
  <c r="B60" i="36"/>
  <c r="G60" i="36" s="1"/>
  <c r="I60" i="36" s="1"/>
  <c r="O27" i="71"/>
  <c r="O23" i="71"/>
  <c r="O14" i="71"/>
  <c r="O11" i="71"/>
  <c r="B20" i="71"/>
  <c r="CN5" i="1" s="1"/>
  <c r="B19" i="71"/>
  <c r="CN4" i="1" s="1"/>
  <c r="B18" i="71"/>
  <c r="B17" i="71"/>
  <c r="CN2" i="1"/>
  <c r="O10" i="70"/>
  <c r="O13" i="70"/>
  <c r="G68" i="65"/>
  <c r="H8" i="166" s="1"/>
  <c r="G67" i="65"/>
  <c r="H7" i="166" s="1"/>
  <c r="G66" i="65"/>
  <c r="H6" i="166" s="1"/>
  <c r="G65" i="65"/>
  <c r="H5" i="166" s="1"/>
  <c r="G64" i="65"/>
  <c r="H4" i="166" s="1"/>
  <c r="G63" i="65"/>
  <c r="H3" i="166" s="1"/>
  <c r="G62" i="65"/>
  <c r="H2" i="166" s="1"/>
  <c r="C59" i="36"/>
  <c r="H58" i="36" s="1"/>
  <c r="D59" i="36"/>
  <c r="M58" i="36" s="1"/>
  <c r="B59" i="36"/>
  <c r="G59" i="36" s="1"/>
  <c r="O22" i="70"/>
  <c r="O18" i="70"/>
  <c r="B20" i="70"/>
  <c r="CM5" i="1"/>
  <c r="B19" i="70"/>
  <c r="CM4" i="1"/>
  <c r="B18" i="70"/>
  <c r="CM3" i="1"/>
  <c r="B17" i="70"/>
  <c r="CM2" i="1"/>
  <c r="G42" i="65"/>
  <c r="F2" i="166" s="1"/>
  <c r="G43" i="65"/>
  <c r="F3" i="166" s="1"/>
  <c r="G44" i="65"/>
  <c r="F4" i="166" s="1"/>
  <c r="G45" i="65"/>
  <c r="F5" i="166" s="1"/>
  <c r="G46" i="65"/>
  <c r="F6" i="166" s="1"/>
  <c r="G47" i="65"/>
  <c r="F7" i="166" s="1"/>
  <c r="G48" i="65"/>
  <c r="F8" i="166" s="1"/>
  <c r="G52" i="65"/>
  <c r="G2" i="166" s="1"/>
  <c r="G53" i="65"/>
  <c r="G3" i="166" s="1"/>
  <c r="G54" i="65"/>
  <c r="G4" i="166" s="1"/>
  <c r="G55" i="65"/>
  <c r="G5" i="166" s="1"/>
  <c r="G56" i="65"/>
  <c r="G6" i="166" s="1"/>
  <c r="G57" i="65"/>
  <c r="G7" i="166" s="1"/>
  <c r="G58" i="65"/>
  <c r="G8" i="166" s="1"/>
  <c r="G38" i="65"/>
  <c r="E8" i="166" s="1"/>
  <c r="G37" i="65"/>
  <c r="E7" i="166" s="1"/>
  <c r="G36" i="65"/>
  <c r="E6" i="166" s="1"/>
  <c r="G35" i="65"/>
  <c r="E5" i="166" s="1"/>
  <c r="G34" i="65"/>
  <c r="E4" i="166" s="1"/>
  <c r="G33" i="65"/>
  <c r="E3" i="166" s="1"/>
  <c r="G32" i="65"/>
  <c r="E2" i="166" s="1"/>
  <c r="O29" i="69"/>
  <c r="O25" i="69"/>
  <c r="O13" i="69"/>
  <c r="O12" i="69"/>
  <c r="C58" i="36"/>
  <c r="H57" i="36" s="1"/>
  <c r="D58" i="36"/>
  <c r="B58" i="36"/>
  <c r="B20" i="69"/>
  <c r="CL5" i="1" s="1"/>
  <c r="B19" i="69"/>
  <c r="CL4" i="1" s="1"/>
  <c r="B18" i="69"/>
  <c r="CL3" i="1" s="1"/>
  <c r="B17" i="69"/>
  <c r="C57" i="36"/>
  <c r="H56" i="36" s="1"/>
  <c r="D57" i="36"/>
  <c r="M56" i="36" s="1"/>
  <c r="B57" i="36"/>
  <c r="G57" i="36" s="1"/>
  <c r="O25" i="68"/>
  <c r="O21" i="68"/>
  <c r="O12" i="68"/>
  <c r="O11" i="68"/>
  <c r="B20" i="68"/>
  <c r="CK5" i="1"/>
  <c r="B19" i="68"/>
  <c r="CK4" i="1"/>
  <c r="B18" i="68"/>
  <c r="CK3" i="1"/>
  <c r="B17" i="68"/>
  <c r="CK2" i="1"/>
  <c r="C56" i="36"/>
  <c r="H55" i="36" s="1"/>
  <c r="D56" i="36"/>
  <c r="B56" i="36"/>
  <c r="G56" i="36" s="1"/>
  <c r="O13" i="67"/>
  <c r="O14" i="67"/>
  <c r="O24" i="67"/>
  <c r="O28" i="67"/>
  <c r="B20" i="67"/>
  <c r="CJ5" i="1"/>
  <c r="B19" i="67"/>
  <c r="B18" i="67"/>
  <c r="CJ3" i="1" s="1"/>
  <c r="B17" i="67"/>
  <c r="G28" i="65"/>
  <c r="D8" i="166" s="1"/>
  <c r="G27" i="65"/>
  <c r="D7" i="166" s="1"/>
  <c r="G26" i="65"/>
  <c r="D6" i="166" s="1"/>
  <c r="G25" i="65"/>
  <c r="D5" i="166" s="1"/>
  <c r="G24" i="65"/>
  <c r="D4" i="166" s="1"/>
  <c r="G23" i="65"/>
  <c r="D3" i="166" s="1"/>
  <c r="G22" i="65"/>
  <c r="D2" i="166" s="1"/>
  <c r="C55" i="36"/>
  <c r="D55" i="36"/>
  <c r="B55" i="36"/>
  <c r="G55" i="36" s="1"/>
  <c r="O26" i="66"/>
  <c r="O22" i="66"/>
  <c r="O14" i="66"/>
  <c r="O13" i="66"/>
  <c r="B20" i="66"/>
  <c r="CI5" i="1" s="1"/>
  <c r="B19" i="66"/>
  <c r="B18" i="66"/>
  <c r="CI3" i="1"/>
  <c r="B17" i="66"/>
  <c r="CI2" i="1" s="1"/>
  <c r="G12" i="65"/>
  <c r="C2" i="166" s="1"/>
  <c r="G2" i="65"/>
  <c r="B2" i="166" s="1"/>
  <c r="G13" i="65"/>
  <c r="C3" i="166" s="1"/>
  <c r="G3" i="65"/>
  <c r="B3" i="166" s="1"/>
  <c r="G14" i="65"/>
  <c r="C4" i="166" s="1"/>
  <c r="G4" i="65"/>
  <c r="B4" i="166" s="1"/>
  <c r="G15" i="65"/>
  <c r="C5" i="166" s="1"/>
  <c r="G5" i="65"/>
  <c r="B5" i="166" s="1"/>
  <c r="G16" i="65"/>
  <c r="C6" i="166" s="1"/>
  <c r="G6" i="65"/>
  <c r="B6" i="166" s="1"/>
  <c r="G17" i="65"/>
  <c r="C7" i="166" s="1"/>
  <c r="G7" i="65"/>
  <c r="B7" i="166" s="1"/>
  <c r="G18" i="65"/>
  <c r="C8" i="166" s="1"/>
  <c r="G8" i="65"/>
  <c r="B8" i="166" s="1"/>
  <c r="C54" i="36"/>
  <c r="D54" i="36"/>
  <c r="L54" i="36" s="1"/>
  <c r="N54" i="36" s="1"/>
  <c r="B54" i="36"/>
  <c r="G54" i="36" s="1"/>
  <c r="O27" i="64"/>
  <c r="O23" i="64"/>
  <c r="O13" i="64"/>
  <c r="O12" i="64"/>
  <c r="B20" i="64"/>
  <c r="CH5" i="1"/>
  <c r="B19" i="64"/>
  <c r="CH4" i="1"/>
  <c r="B18" i="64"/>
  <c r="CH3" i="1"/>
  <c r="B17" i="64"/>
  <c r="CH2" i="1"/>
  <c r="C53" i="36"/>
  <c r="H52" i="36" s="1"/>
  <c r="D53" i="36"/>
  <c r="B53" i="36"/>
  <c r="G53" i="36" s="1"/>
  <c r="I53" i="36" s="1"/>
  <c r="O28" i="63"/>
  <c r="O24" i="63"/>
  <c r="O13" i="63"/>
  <c r="O12" i="63"/>
  <c r="B20" i="63"/>
  <c r="CG5" i="1"/>
  <c r="B19" i="63"/>
  <c r="CG4" i="1"/>
  <c r="B18" i="63"/>
  <c r="CG3" i="1"/>
  <c r="B17" i="63"/>
  <c r="C52" i="36"/>
  <c r="H51" i="36" s="1"/>
  <c r="B52" i="36"/>
  <c r="G52" i="36" s="1"/>
  <c r="O29" i="62"/>
  <c r="O25" i="62"/>
  <c r="O13" i="62"/>
  <c r="O12" i="62"/>
  <c r="F9" i="62"/>
  <c r="B20" i="62"/>
  <c r="CF5" i="1" s="1"/>
  <c r="B18" i="62"/>
  <c r="CF3" i="1" s="1"/>
  <c r="B17" i="62"/>
  <c r="CF2" i="1" s="1"/>
  <c r="C51" i="36"/>
  <c r="H50" i="36" s="1"/>
  <c r="B51" i="36"/>
  <c r="O32" i="61"/>
  <c r="O28" i="61"/>
  <c r="O13" i="61"/>
  <c r="O12" i="61"/>
  <c r="F9" i="61"/>
  <c r="B20" i="61"/>
  <c r="CE5" i="1" s="1"/>
  <c r="B18" i="61"/>
  <c r="CE3" i="1" s="1"/>
  <c r="B17" i="61"/>
  <c r="CE2" i="1" s="1"/>
  <c r="C50" i="36"/>
  <c r="H49" i="36" s="1"/>
  <c r="D50" i="36"/>
  <c r="M49" i="36" s="1"/>
  <c r="B50" i="36"/>
  <c r="G50" i="36" s="1"/>
  <c r="I50" i="36" s="1"/>
  <c r="D9" i="59"/>
  <c r="O31" i="60"/>
  <c r="O27" i="60"/>
  <c r="B20" i="60"/>
  <c r="CD5" i="1" s="1"/>
  <c r="B19" i="60"/>
  <c r="CD4" i="1" s="1"/>
  <c r="B18" i="60"/>
  <c r="B17" i="60"/>
  <c r="CD2" i="1" s="1"/>
  <c r="O13" i="60"/>
  <c r="O12" i="60"/>
  <c r="C49" i="36"/>
  <c r="D49" i="36"/>
  <c r="M48" i="36" s="1"/>
  <c r="O29" i="59"/>
  <c r="O25" i="59"/>
  <c r="O13" i="59"/>
  <c r="O12" i="59"/>
  <c r="B19" i="59"/>
  <c r="CC5" i="1"/>
  <c r="B17" i="59"/>
  <c r="CC3" i="1" s="1"/>
  <c r="B16" i="59"/>
  <c r="CC2" i="1"/>
  <c r="C48" i="36"/>
  <c r="D48" i="36"/>
  <c r="L48" i="36" s="1"/>
  <c r="B48" i="36"/>
  <c r="O28" i="58"/>
  <c r="O24" i="58"/>
  <c r="O13" i="58"/>
  <c r="O12" i="58"/>
  <c r="B19" i="58"/>
  <c r="B18" i="58"/>
  <c r="CB4" i="1" s="1"/>
  <c r="B17" i="58"/>
  <c r="CB3" i="1"/>
  <c r="B16" i="58"/>
  <c r="CB2" i="1" s="1"/>
  <c r="C47" i="36"/>
  <c r="L47" i="36" s="1"/>
  <c r="D47" i="36"/>
  <c r="M46" i="36" s="1"/>
  <c r="B47" i="36"/>
  <c r="G47" i="36" s="1"/>
  <c r="O26" i="57"/>
  <c r="O22" i="57"/>
  <c r="O13" i="57"/>
  <c r="O12" i="57"/>
  <c r="B19" i="57"/>
  <c r="CA5" i="1" s="1"/>
  <c r="B18" i="57"/>
  <c r="CA4" i="1" s="1"/>
  <c r="B17" i="57"/>
  <c r="B16" i="57"/>
  <c r="CA2" i="1" s="1"/>
  <c r="C46" i="36"/>
  <c r="H45" i="36" s="1"/>
  <c r="D46" i="36"/>
  <c r="B46" i="36"/>
  <c r="O30" i="56"/>
  <c r="O26" i="56"/>
  <c r="O13" i="56"/>
  <c r="O12" i="56"/>
  <c r="B19" i="56"/>
  <c r="BZ5" i="1" s="1"/>
  <c r="B18" i="56"/>
  <c r="BZ4" i="1" s="1"/>
  <c r="B17" i="56"/>
  <c r="B16" i="56"/>
  <c r="BZ2" i="1"/>
  <c r="C45" i="36"/>
  <c r="D45" i="36"/>
  <c r="M44" i="36" s="1"/>
  <c r="B45" i="36"/>
  <c r="G45" i="36" s="1"/>
  <c r="O30" i="55"/>
  <c r="O26" i="55"/>
  <c r="O13" i="55"/>
  <c r="O12" i="55"/>
  <c r="B19" i="55"/>
  <c r="BY5" i="1" s="1"/>
  <c r="B18" i="55"/>
  <c r="BY4" i="1" s="1"/>
  <c r="B17" i="55"/>
  <c r="B16" i="55"/>
  <c r="BY2" i="1"/>
  <c r="C44" i="36"/>
  <c r="H43" i="36" s="1"/>
  <c r="D44" i="36"/>
  <c r="L44" i="36" s="1"/>
  <c r="B44" i="36"/>
  <c r="G44" i="36" s="1"/>
  <c r="O30" i="54"/>
  <c r="O26" i="54"/>
  <c r="O13" i="54"/>
  <c r="O12" i="54"/>
  <c r="B19" i="54"/>
  <c r="BX5" i="1" s="1"/>
  <c r="B18" i="54"/>
  <c r="BX4" i="1" s="1"/>
  <c r="B17" i="54"/>
  <c r="BX3" i="1" s="1"/>
  <c r="B16" i="54"/>
  <c r="BX2" i="1" s="1"/>
  <c r="C43" i="36"/>
  <c r="L43" i="36" s="1"/>
  <c r="D43" i="36"/>
  <c r="M42" i="36" s="1"/>
  <c r="B43" i="36"/>
  <c r="G43" i="36" s="1"/>
  <c r="O27" i="53"/>
  <c r="O23" i="53"/>
  <c r="O13" i="53"/>
  <c r="O12" i="53"/>
  <c r="B19" i="53"/>
  <c r="BW5" i="1"/>
  <c r="B18" i="53"/>
  <c r="BW4" i="1" s="1"/>
  <c r="B17" i="53"/>
  <c r="B16" i="53"/>
  <c r="BW2" i="1" s="1"/>
  <c r="C42" i="36"/>
  <c r="H41" i="36" s="1"/>
  <c r="D42" i="36"/>
  <c r="M41" i="36" s="1"/>
  <c r="B42" i="36"/>
  <c r="G42" i="36" s="1"/>
  <c r="O31" i="52"/>
  <c r="O27" i="52"/>
  <c r="O13" i="52"/>
  <c r="O12" i="52"/>
  <c r="B19" i="52"/>
  <c r="BV5" i="1" s="1"/>
  <c r="B18" i="52"/>
  <c r="BV4" i="1" s="1"/>
  <c r="B17" i="52"/>
  <c r="B16" i="52"/>
  <c r="C41" i="36"/>
  <c r="H40" i="36" s="1"/>
  <c r="D41" i="36"/>
  <c r="M40" i="36" s="1"/>
  <c r="B41" i="36"/>
  <c r="G41" i="36" s="1"/>
  <c r="O32" i="51"/>
  <c r="O27" i="51"/>
  <c r="O13" i="51"/>
  <c r="O12" i="51"/>
  <c r="B20" i="51"/>
  <c r="BU5" i="1" s="1"/>
  <c r="B19" i="51"/>
  <c r="BU4" i="1"/>
  <c r="B18" i="51"/>
  <c r="BU3" i="1" s="1"/>
  <c r="B17" i="51"/>
  <c r="BU2" i="1"/>
  <c r="C40" i="36"/>
  <c r="H39" i="36" s="1"/>
  <c r="D40" i="36"/>
  <c r="B40" i="36"/>
  <c r="G40" i="36" s="1"/>
  <c r="O26" i="50"/>
  <c r="O21" i="50"/>
  <c r="O13" i="50"/>
  <c r="O12" i="50"/>
  <c r="B20" i="50"/>
  <c r="B19" i="50"/>
  <c r="BT4" i="1" s="1"/>
  <c r="B18" i="50"/>
  <c r="BT3" i="1" s="1"/>
  <c r="B17" i="50"/>
  <c r="C39" i="36"/>
  <c r="H38" i="36" s="1"/>
  <c r="D39" i="36"/>
  <c r="M38" i="36" s="1"/>
  <c r="B39" i="36"/>
  <c r="G39" i="36" s="1"/>
  <c r="O27" i="49"/>
  <c r="O23" i="49"/>
  <c r="O13" i="49"/>
  <c r="O12" i="49"/>
  <c r="B20" i="49"/>
  <c r="BS5" i="1"/>
  <c r="B19" i="49"/>
  <c r="BS4" i="1" s="1"/>
  <c r="B18" i="49"/>
  <c r="B17" i="49"/>
  <c r="BS2" i="1" s="1"/>
  <c r="C38" i="36"/>
  <c r="D38" i="36"/>
  <c r="M37" i="36" s="1"/>
  <c r="B38" i="36"/>
  <c r="O43" i="48"/>
  <c r="O23" i="48"/>
  <c r="O14" i="48"/>
  <c r="O13" i="48"/>
  <c r="F17" i="48" s="1"/>
  <c r="B20" i="48"/>
  <c r="BR5" i="1" s="1"/>
  <c r="B19" i="48"/>
  <c r="BR4" i="1" s="1"/>
  <c r="B18" i="48"/>
  <c r="BR3" i="1" s="1"/>
  <c r="B17" i="48"/>
  <c r="BR2" i="1" s="1"/>
  <c r="C37" i="36"/>
  <c r="D37" i="36"/>
  <c r="L37" i="36" s="1"/>
  <c r="B37" i="36"/>
  <c r="P37" i="36" s="1"/>
  <c r="O42" i="47"/>
  <c r="F20" i="47" s="1"/>
  <c r="O37" i="47"/>
  <c r="O19" i="47"/>
  <c r="O17" i="47"/>
  <c r="B20" i="47"/>
  <c r="BQ5" i="1" s="1"/>
  <c r="B19" i="47"/>
  <c r="BQ4" i="1" s="1"/>
  <c r="B18" i="47"/>
  <c r="BQ3" i="1" s="1"/>
  <c r="B17" i="47"/>
  <c r="O12" i="45"/>
  <c r="O37" i="45"/>
  <c r="O22" i="45"/>
  <c r="O14" i="45"/>
  <c r="C36" i="36"/>
  <c r="D36" i="36"/>
  <c r="M35" i="36" s="1"/>
  <c r="B36" i="36"/>
  <c r="O76" i="45"/>
  <c r="O60" i="45"/>
  <c r="B20" i="45"/>
  <c r="BP5" i="1" s="1"/>
  <c r="B19" i="45"/>
  <c r="BP4" i="1"/>
  <c r="B18" i="45"/>
  <c r="B17" i="45"/>
  <c r="BP2" i="1" s="1"/>
  <c r="O53" i="45"/>
  <c r="O51" i="45"/>
  <c r="C35" i="36"/>
  <c r="D35" i="36"/>
  <c r="M34" i="36" s="1"/>
  <c r="N34" i="36" s="1"/>
  <c r="B35" i="36"/>
  <c r="G35" i="36" s="1"/>
  <c r="O37" i="44"/>
  <c r="O21" i="44"/>
  <c r="O14" i="44"/>
  <c r="O12" i="44"/>
  <c r="B20" i="44"/>
  <c r="BO5" i="1" s="1"/>
  <c r="B19" i="44"/>
  <c r="B18" i="44"/>
  <c r="BO3" i="1" s="1"/>
  <c r="B17" i="44"/>
  <c r="BO2" i="1" s="1"/>
  <c r="C34" i="36"/>
  <c r="H33" i="36" s="1"/>
  <c r="D34" i="36"/>
  <c r="M33" i="36" s="1"/>
  <c r="B34" i="36"/>
  <c r="G34" i="36" s="1"/>
  <c r="O36" i="43"/>
  <c r="O21" i="43"/>
  <c r="O15" i="43"/>
  <c r="O13" i="43"/>
  <c r="B20" i="43"/>
  <c r="BN5" i="1" s="1"/>
  <c r="B19" i="43"/>
  <c r="BN4" i="1" s="1"/>
  <c r="B18" i="43"/>
  <c r="BN3" i="1" s="1"/>
  <c r="B17" i="43"/>
  <c r="BN2" i="1" s="1"/>
  <c r="C33" i="36"/>
  <c r="H32" i="36" s="1"/>
  <c r="D33" i="36"/>
  <c r="M32" i="36" s="1"/>
  <c r="B33" i="36"/>
  <c r="G33" i="36" s="1"/>
  <c r="I33" i="36" s="1"/>
  <c r="O30" i="42"/>
  <c r="O23" i="42"/>
  <c r="O14" i="42"/>
  <c r="O13" i="42"/>
  <c r="B20" i="42"/>
  <c r="BM5" i="1" s="1"/>
  <c r="B19" i="42"/>
  <c r="B18" i="42"/>
  <c r="BM3" i="1" s="1"/>
  <c r="B17" i="42"/>
  <c r="BM2" i="1" s="1"/>
  <c r="F47" i="41"/>
  <c r="M4" i="41" s="1"/>
  <c r="F46" i="41"/>
  <c r="M3" i="41" s="1"/>
  <c r="F45" i="41"/>
  <c r="M2" i="41" s="1"/>
  <c r="F41" i="41"/>
  <c r="N4" i="41" s="1"/>
  <c r="F40" i="41"/>
  <c r="N3" i="41" s="1"/>
  <c r="F39" i="41"/>
  <c r="N2" i="41" s="1"/>
  <c r="F35" i="41"/>
  <c r="O4" i="41" s="1"/>
  <c r="O5" i="41" s="1"/>
  <c r="F34" i="41"/>
  <c r="F33" i="41"/>
  <c r="F32" i="41"/>
  <c r="F28" i="41"/>
  <c r="P4" i="41" s="1"/>
  <c r="F27" i="41"/>
  <c r="P3" i="41"/>
  <c r="F26" i="41"/>
  <c r="P2" i="41"/>
  <c r="F20" i="41"/>
  <c r="F19" i="41"/>
  <c r="F18" i="41"/>
  <c r="F17" i="41"/>
  <c r="F14" i="41"/>
  <c r="R4" i="41"/>
  <c r="F13" i="41"/>
  <c r="R3" i="41"/>
  <c r="F12" i="41"/>
  <c r="R2" i="41" s="1"/>
  <c r="F6" i="41"/>
  <c r="S4" i="41" s="1"/>
  <c r="F5" i="41"/>
  <c r="F4" i="41"/>
  <c r="S2" i="41"/>
  <c r="F3" i="41"/>
  <c r="F2" i="41"/>
  <c r="F7" i="41" s="1"/>
  <c r="C32" i="36"/>
  <c r="H31" i="36" s="1"/>
  <c r="I31" i="36" s="1"/>
  <c r="D32" i="36"/>
  <c r="M31" i="36" s="1"/>
  <c r="B32" i="36"/>
  <c r="G32" i="36" s="1"/>
  <c r="O30" i="40"/>
  <c r="O22" i="40"/>
  <c r="O14" i="40"/>
  <c r="O13" i="40"/>
  <c r="B20" i="40"/>
  <c r="BL5" i="1"/>
  <c r="B19" i="40"/>
  <c r="BL4" i="1" s="1"/>
  <c r="B18" i="40"/>
  <c r="BL3" i="1"/>
  <c r="B17" i="40"/>
  <c r="M45" i="39"/>
  <c r="M38" i="39"/>
  <c r="M36" i="39"/>
  <c r="M37" i="39"/>
  <c r="M39" i="39"/>
  <c r="M35" i="39"/>
  <c r="C31" i="36"/>
  <c r="D31" i="36"/>
  <c r="M30" i="36" s="1"/>
  <c r="B31" i="36"/>
  <c r="G31" i="36" s="1"/>
  <c r="O13" i="39"/>
  <c r="O32" i="39"/>
  <c r="O23" i="39"/>
  <c r="O14" i="39"/>
  <c r="B20" i="39"/>
  <c r="BK5" i="1" s="1"/>
  <c r="B19" i="39"/>
  <c r="BK4" i="1" s="1"/>
  <c r="B18" i="39"/>
  <c r="B17" i="39"/>
  <c r="O34" i="38"/>
  <c r="F20" i="38" s="1"/>
  <c r="O26" i="38"/>
  <c r="O14" i="38"/>
  <c r="O13" i="38"/>
  <c r="D30" i="36"/>
  <c r="M29" i="36" s="1"/>
  <c r="N29" i="36" s="1"/>
  <c r="C30" i="36"/>
  <c r="H29" i="36" s="1"/>
  <c r="B30" i="36"/>
  <c r="B20" i="38"/>
  <c r="BJ5" i="1"/>
  <c r="B19" i="38"/>
  <c r="BJ4" i="1" s="1"/>
  <c r="B18" i="38"/>
  <c r="BJ3" i="1"/>
  <c r="B17" i="38"/>
  <c r="C29" i="36"/>
  <c r="L29" i="36" s="1"/>
  <c r="D29" i="36"/>
  <c r="M28" i="36" s="1"/>
  <c r="B29" i="36"/>
  <c r="G29" i="36" s="1"/>
  <c r="O33" i="37"/>
  <c r="F20" i="37" s="1"/>
  <c r="O23" i="37"/>
  <c r="O14" i="37"/>
  <c r="O13" i="37"/>
  <c r="B20" i="37"/>
  <c r="B19" i="37"/>
  <c r="BI4" i="1"/>
  <c r="B18" i="37"/>
  <c r="BI3" i="1"/>
  <c r="B17" i="37"/>
  <c r="BI2" i="1" s="1"/>
  <c r="O32" i="35"/>
  <c r="O20" i="35"/>
  <c r="O14" i="35"/>
  <c r="O13" i="35"/>
  <c r="D28" i="36"/>
  <c r="M27" i="36" s="1"/>
  <c r="C28" i="36"/>
  <c r="H27" i="36" s="1"/>
  <c r="B28" i="36"/>
  <c r="G28" i="36" s="1"/>
  <c r="C2" i="36"/>
  <c r="D2" i="36"/>
  <c r="C3" i="36"/>
  <c r="D3" i="36"/>
  <c r="C4" i="36"/>
  <c r="D4" i="36"/>
  <c r="C5" i="36"/>
  <c r="H4" i="36" s="1"/>
  <c r="D5" i="36"/>
  <c r="M4" i="36" s="1"/>
  <c r="C6" i="36"/>
  <c r="H5" i="36" s="1"/>
  <c r="I5" i="36" s="1"/>
  <c r="D6" i="36"/>
  <c r="M5" i="36" s="1"/>
  <c r="C7" i="36"/>
  <c r="D7" i="36"/>
  <c r="M6" i="36" s="1"/>
  <c r="C8" i="36"/>
  <c r="D8" i="36"/>
  <c r="C9" i="36"/>
  <c r="H8" i="36" s="1"/>
  <c r="D9" i="36"/>
  <c r="M8" i="36" s="1"/>
  <c r="C10" i="36"/>
  <c r="H9" i="36" s="1"/>
  <c r="D10" i="36"/>
  <c r="M9" i="36" s="1"/>
  <c r="C11" i="36"/>
  <c r="H10" i="36" s="1"/>
  <c r="D11" i="36"/>
  <c r="M10" i="36" s="1"/>
  <c r="C12" i="36"/>
  <c r="H11" i="36" s="1"/>
  <c r="D12" i="36"/>
  <c r="C13" i="36"/>
  <c r="D13" i="36"/>
  <c r="M12" i="36" s="1"/>
  <c r="C14" i="36"/>
  <c r="H13" i="36" s="1"/>
  <c r="I13" i="36" s="1"/>
  <c r="D14" i="36"/>
  <c r="M13" i="36" s="1"/>
  <c r="C15" i="36"/>
  <c r="H14" i="36" s="1"/>
  <c r="D15" i="36"/>
  <c r="L15" i="36" s="1"/>
  <c r="C16" i="36"/>
  <c r="D16" i="36"/>
  <c r="M15" i="36" s="1"/>
  <c r="C17" i="36"/>
  <c r="H16" i="36" s="1"/>
  <c r="D17" i="36"/>
  <c r="C18" i="36"/>
  <c r="H17" i="36" s="1"/>
  <c r="D18" i="36"/>
  <c r="M17" i="36" s="1"/>
  <c r="C19" i="36"/>
  <c r="H18" i="36" s="1"/>
  <c r="D19" i="36"/>
  <c r="M18" i="36" s="1"/>
  <c r="C20" i="36"/>
  <c r="H19" i="36" s="1"/>
  <c r="D20" i="36"/>
  <c r="M19" i="36" s="1"/>
  <c r="C21" i="36"/>
  <c r="H20" i="36" s="1"/>
  <c r="D21" i="36"/>
  <c r="C22" i="36"/>
  <c r="H21" i="36" s="1"/>
  <c r="D22" i="36"/>
  <c r="C23" i="36"/>
  <c r="H22" i="36" s="1"/>
  <c r="D23" i="36"/>
  <c r="L23" i="36" s="1"/>
  <c r="C24" i="36"/>
  <c r="D24" i="36"/>
  <c r="M23" i="36" s="1"/>
  <c r="C25" i="36"/>
  <c r="H24" i="36" s="1"/>
  <c r="D25" i="36"/>
  <c r="M24" i="36" s="1"/>
  <c r="C26" i="36"/>
  <c r="H25" i="36" s="1"/>
  <c r="D26" i="36"/>
  <c r="L26" i="36" s="1"/>
  <c r="C27" i="36"/>
  <c r="D27" i="36"/>
  <c r="L27" i="36" s="1"/>
  <c r="B27" i="36"/>
  <c r="G27" i="36" s="1"/>
  <c r="B26" i="36"/>
  <c r="G26" i="36" s="1"/>
  <c r="B25" i="36"/>
  <c r="P25" i="36" s="1"/>
  <c r="B24" i="36"/>
  <c r="G24" i="36" s="1"/>
  <c r="B23" i="36"/>
  <c r="G23" i="36" s="1"/>
  <c r="B22" i="36"/>
  <c r="G22" i="36" s="1"/>
  <c r="I22" i="36" s="1"/>
  <c r="B21" i="36"/>
  <c r="G21" i="36" s="1"/>
  <c r="B20" i="36"/>
  <c r="B19" i="36"/>
  <c r="G19" i="36" s="1"/>
  <c r="B18" i="36"/>
  <c r="G18" i="36" s="1"/>
  <c r="B17" i="36"/>
  <c r="G17" i="36" s="1"/>
  <c r="B16" i="36"/>
  <c r="B15" i="36"/>
  <c r="G15" i="36" s="1"/>
  <c r="B14" i="36"/>
  <c r="P15" i="36" s="1"/>
  <c r="B13" i="36"/>
  <c r="B12" i="36"/>
  <c r="G12" i="36" s="1"/>
  <c r="B11" i="36"/>
  <c r="B10" i="36"/>
  <c r="G10" i="36" s="1"/>
  <c r="B9" i="36"/>
  <c r="G9" i="36" s="1"/>
  <c r="B8" i="36"/>
  <c r="B7" i="36"/>
  <c r="G7" i="36" s="1"/>
  <c r="B6" i="36"/>
  <c r="G6" i="36" s="1"/>
  <c r="B5" i="36"/>
  <c r="G5" i="36" s="1"/>
  <c r="B4" i="36"/>
  <c r="B3" i="36"/>
  <c r="B2" i="36"/>
  <c r="G2" i="36" s="1"/>
  <c r="B20" i="35"/>
  <c r="BH5" i="1"/>
  <c r="B19" i="35"/>
  <c r="BH4" i="1" s="1"/>
  <c r="B18" i="35"/>
  <c r="BH3" i="1"/>
  <c r="B17" i="35"/>
  <c r="BH2" i="1" s="1"/>
  <c r="O28" i="34"/>
  <c r="O22" i="34"/>
  <c r="O14" i="34"/>
  <c r="O13" i="34"/>
  <c r="B20" i="34"/>
  <c r="BG5" i="1"/>
  <c r="B18" i="34"/>
  <c r="BG3" i="1" s="1"/>
  <c r="B17" i="34"/>
  <c r="BG2" i="1"/>
  <c r="O34" i="33"/>
  <c r="O21" i="33"/>
  <c r="O14" i="33"/>
  <c r="O13" i="33"/>
  <c r="B20" i="33"/>
  <c r="BF5" i="1" s="1"/>
  <c r="B18" i="33"/>
  <c r="B17" i="33"/>
  <c r="BF2" i="1" s="1"/>
  <c r="O29" i="32"/>
  <c r="O12" i="32"/>
  <c r="O22" i="32"/>
  <c r="O13" i="32"/>
  <c r="C341" i="22"/>
  <c r="C344" i="22" s="1"/>
  <c r="C347" i="22" s="1"/>
  <c r="B19" i="34" s="1"/>
  <c r="BG4" i="1" s="1"/>
  <c r="B20" i="32"/>
  <c r="BE5" i="1" s="1"/>
  <c r="B18" i="32"/>
  <c r="BE3" i="1" s="1"/>
  <c r="B17" i="32"/>
  <c r="BE2" i="1" s="1"/>
  <c r="C299" i="22"/>
  <c r="B19" i="31" s="1"/>
  <c r="BD4" i="1" s="1"/>
  <c r="O29" i="31"/>
  <c r="O23" i="31"/>
  <c r="O16" i="31"/>
  <c r="O15" i="31"/>
  <c r="B20" i="31"/>
  <c r="BD5" i="1" s="1"/>
  <c r="B18" i="31"/>
  <c r="BD3" i="1"/>
  <c r="B17" i="31"/>
  <c r="BD2" i="1"/>
  <c r="O31" i="30"/>
  <c r="O20" i="30"/>
  <c r="O14" i="30"/>
  <c r="O13" i="30"/>
  <c r="B20" i="30"/>
  <c r="BC5" i="1"/>
  <c r="B18" i="30"/>
  <c r="B17" i="30"/>
  <c r="BC2" i="1" s="1"/>
  <c r="C261" i="22"/>
  <c r="B19" i="30" s="1"/>
  <c r="BC4" i="1" s="1"/>
  <c r="C222" i="22"/>
  <c r="B19" i="29" s="1"/>
  <c r="O25" i="29"/>
  <c r="O20" i="29"/>
  <c r="O14" i="29"/>
  <c r="O13" i="29"/>
  <c r="B20" i="29"/>
  <c r="B18" i="29"/>
  <c r="B17" i="29"/>
  <c r="BB2" i="1" s="1"/>
  <c r="O14" i="28"/>
  <c r="O13" i="28"/>
  <c r="B17" i="28"/>
  <c r="BA2" i="1" s="1"/>
  <c r="B18" i="28"/>
  <c r="BA3" i="1" s="1"/>
  <c r="B20" i="28"/>
  <c r="BA5" i="1" s="1"/>
  <c r="C183" i="22"/>
  <c r="B19" i="28" s="1"/>
  <c r="BA4" i="1" s="1"/>
  <c r="C144" i="22"/>
  <c r="B19" i="27" s="1"/>
  <c r="O21" i="28"/>
  <c r="O27" i="28"/>
  <c r="B17" i="27"/>
  <c r="AZ2" i="1" s="1"/>
  <c r="B18" i="27"/>
  <c r="AZ3" i="1" s="1"/>
  <c r="B20" i="27"/>
  <c r="AZ5" i="1" s="1"/>
  <c r="O13" i="27"/>
  <c r="C109" i="22"/>
  <c r="B19" i="26"/>
  <c r="O20" i="27"/>
  <c r="O28" i="27"/>
  <c r="B17" i="26"/>
  <c r="AY2" i="1"/>
  <c r="B18" i="26"/>
  <c r="AY3" i="1" s="1"/>
  <c r="B20" i="26"/>
  <c r="AY5" i="1"/>
  <c r="O11" i="26"/>
  <c r="O18" i="26"/>
  <c r="O31" i="26"/>
  <c r="C85" i="22"/>
  <c r="B19" i="25" s="1"/>
  <c r="AX4" i="1" s="1"/>
  <c r="O12" i="25"/>
  <c r="B17" i="25"/>
  <c r="B18" i="25"/>
  <c r="AX3" i="1"/>
  <c r="B20" i="25"/>
  <c r="O17" i="25"/>
  <c r="O28" i="25"/>
  <c r="C64" i="22"/>
  <c r="I4" i="24" s="1"/>
  <c r="H24" i="24"/>
  <c r="I2" i="24"/>
  <c r="AW2" i="1"/>
  <c r="I3" i="24"/>
  <c r="AW3" i="1" s="1"/>
  <c r="I5" i="24"/>
  <c r="H26" i="24"/>
  <c r="H33" i="24"/>
  <c r="C42" i="22"/>
  <c r="I4" i="23" s="1"/>
  <c r="AV4" i="1" s="1"/>
  <c r="C16" i="22"/>
  <c r="I4" i="21"/>
  <c r="AU4" i="1" s="1"/>
  <c r="H57" i="21"/>
  <c r="H34" i="21"/>
  <c r="H29" i="21"/>
  <c r="H45" i="23"/>
  <c r="H32" i="23"/>
  <c r="H29" i="23"/>
  <c r="I2" i="23"/>
  <c r="AV2" i="1" s="1"/>
  <c r="I3" i="23"/>
  <c r="AV3" i="1" s="1"/>
  <c r="I5" i="23"/>
  <c r="AV5" i="1" s="1"/>
  <c r="I2" i="21"/>
  <c r="I3" i="21"/>
  <c r="AU3" i="1"/>
  <c r="I5" i="21"/>
  <c r="AU5" i="1" s="1"/>
  <c r="AT4" i="1"/>
  <c r="J2" i="20"/>
  <c r="AT2" i="1" s="1"/>
  <c r="J3" i="20"/>
  <c r="J5" i="20"/>
  <c r="AT5" i="1"/>
  <c r="J5" i="19"/>
  <c r="AS5" i="1" s="1"/>
  <c r="J3" i="19"/>
  <c r="J2" i="19"/>
  <c r="AS2" i="1" s="1"/>
  <c r="J4" i="19"/>
  <c r="AS4" i="1" s="1"/>
  <c r="J3" i="18"/>
  <c r="AR3" i="1" s="1"/>
  <c r="J2" i="18"/>
  <c r="AR2" i="1" s="1"/>
  <c r="J4" i="18"/>
  <c r="AR4" i="1" s="1"/>
  <c r="J5" i="18"/>
  <c r="AR5" i="1" s="1"/>
  <c r="I20" i="18"/>
  <c r="AQ2" i="1"/>
  <c r="AQ3" i="1"/>
  <c r="AQ4" i="1"/>
  <c r="AQ5" i="1"/>
  <c r="AP4" i="1"/>
  <c r="AP2" i="1"/>
  <c r="AP3" i="1"/>
  <c r="AP5" i="1"/>
  <c r="J6" i="17"/>
  <c r="I19" i="16"/>
  <c r="J7" i="16"/>
  <c r="J12" i="16"/>
  <c r="AO4" i="1"/>
  <c r="J6" i="15"/>
  <c r="J4" i="15"/>
  <c r="AO3" i="1" s="1"/>
  <c r="J3" i="15"/>
  <c r="AO2" i="1" s="1"/>
  <c r="J2" i="14"/>
  <c r="AN2" i="1"/>
  <c r="J3" i="14"/>
  <c r="AN3" i="1"/>
  <c r="AN4" i="1"/>
  <c r="J5" i="14"/>
  <c r="AN5" i="1" s="1"/>
  <c r="H53" i="14"/>
  <c r="J9" i="14" s="1"/>
  <c r="H35" i="14"/>
  <c r="J10" i="14" s="1"/>
  <c r="H28" i="14"/>
  <c r="J11" i="14" s="1"/>
  <c r="K4" i="13"/>
  <c r="AM4" i="1" s="1"/>
  <c r="H48" i="13"/>
  <c r="H35" i="13"/>
  <c r="H27" i="13"/>
  <c r="K5" i="13"/>
  <c r="K3" i="13"/>
  <c r="AM3" i="1" s="1"/>
  <c r="K2" i="13"/>
  <c r="K4" i="11"/>
  <c r="AL4" i="1"/>
  <c r="K2" i="11"/>
  <c r="AL2" i="1"/>
  <c r="K3" i="11"/>
  <c r="AL3" i="1"/>
  <c r="K5" i="11"/>
  <c r="AL5" i="1" s="1"/>
  <c r="H27" i="11"/>
  <c r="H35" i="11"/>
  <c r="H45" i="11"/>
  <c r="K2" i="10"/>
  <c r="K3" i="10"/>
  <c r="K6" i="10" s="1"/>
  <c r="K5" i="10"/>
  <c r="H24" i="10"/>
  <c r="H31" i="10"/>
  <c r="H38" i="10"/>
  <c r="H46" i="9"/>
  <c r="H25" i="9"/>
  <c r="K2" i="9"/>
  <c r="K6" i="9" s="1"/>
  <c r="K8" i="9" s="1"/>
  <c r="K3" i="9"/>
  <c r="K5" i="9"/>
  <c r="H34" i="9"/>
  <c r="H55" i="8"/>
  <c r="K2" i="8"/>
  <c r="K6" i="8" s="1"/>
  <c r="K8" i="8" s="1"/>
  <c r="K3" i="8"/>
  <c r="K5" i="8"/>
  <c r="H38" i="8"/>
  <c r="H24" i="8"/>
  <c r="H38" i="7"/>
  <c r="K2" i="7"/>
  <c r="K3" i="7"/>
  <c r="K5" i="7"/>
  <c r="H53" i="7"/>
  <c r="H24" i="7"/>
  <c r="H490" i="2"/>
  <c r="G490" i="2"/>
  <c r="F490" i="2"/>
  <c r="E490" i="2"/>
  <c r="D490" i="2"/>
  <c r="C490" i="2"/>
  <c r="H489" i="2"/>
  <c r="G489" i="2"/>
  <c r="F489" i="2"/>
  <c r="E489" i="2"/>
  <c r="D489" i="2"/>
  <c r="C489" i="2"/>
  <c r="P487" i="2"/>
  <c r="O487" i="2"/>
  <c r="L487" i="2"/>
  <c r="M487" i="2" s="1"/>
  <c r="K487" i="2"/>
  <c r="J487" i="2"/>
  <c r="P486" i="2"/>
  <c r="O486" i="2"/>
  <c r="L486" i="2"/>
  <c r="M486" i="2"/>
  <c r="K486" i="2"/>
  <c r="J486" i="2"/>
  <c r="P485" i="2"/>
  <c r="O485" i="2"/>
  <c r="L485" i="2"/>
  <c r="M485" i="2" s="1"/>
  <c r="K485" i="2"/>
  <c r="J485" i="2"/>
  <c r="P484" i="2"/>
  <c r="O484" i="2"/>
  <c r="L484" i="2"/>
  <c r="M484" i="2" s="1"/>
  <c r="K484" i="2"/>
  <c r="J484" i="2"/>
  <c r="P483" i="2"/>
  <c r="O483" i="2"/>
  <c r="L483" i="2"/>
  <c r="M483" i="2" s="1"/>
  <c r="K483" i="2"/>
  <c r="J483" i="2"/>
  <c r="P482" i="2"/>
  <c r="O482" i="2"/>
  <c r="L482" i="2"/>
  <c r="M482" i="2"/>
  <c r="K482" i="2"/>
  <c r="J482" i="2"/>
  <c r="P481" i="2"/>
  <c r="O481" i="2"/>
  <c r="L481" i="2"/>
  <c r="M481" i="2" s="1"/>
  <c r="K481" i="2"/>
  <c r="J481" i="2"/>
  <c r="P480" i="2"/>
  <c r="O480" i="2"/>
  <c r="L480" i="2"/>
  <c r="M480" i="2" s="1"/>
  <c r="K480" i="2"/>
  <c r="J480" i="2"/>
  <c r="L473" i="2"/>
  <c r="M473" i="2"/>
  <c r="K473" i="2"/>
  <c r="J473" i="2"/>
  <c r="L472" i="2"/>
  <c r="M472" i="2" s="1"/>
  <c r="K472" i="2"/>
  <c r="J472" i="2"/>
  <c r="L471" i="2"/>
  <c r="M471" i="2"/>
  <c r="K471" i="2"/>
  <c r="J471" i="2"/>
  <c r="L470" i="2"/>
  <c r="M470" i="2" s="1"/>
  <c r="K470" i="2"/>
  <c r="J470" i="2"/>
  <c r="L469" i="2"/>
  <c r="M469" i="2"/>
  <c r="K469" i="2"/>
  <c r="J469" i="2"/>
  <c r="L468" i="2"/>
  <c r="M468" i="2" s="1"/>
  <c r="K468" i="2"/>
  <c r="J468" i="2"/>
  <c r="L467" i="2"/>
  <c r="M467" i="2"/>
  <c r="K467" i="2"/>
  <c r="J467" i="2"/>
  <c r="L466" i="2"/>
  <c r="M466" i="2" s="1"/>
  <c r="K466" i="2"/>
  <c r="J466" i="2"/>
  <c r="J22" i="2"/>
  <c r="K22" i="2"/>
  <c r="L22" i="2"/>
  <c r="M22" i="2"/>
  <c r="J23" i="2"/>
  <c r="K23" i="2"/>
  <c r="L23" i="2"/>
  <c r="M23" i="2"/>
  <c r="J24" i="2"/>
  <c r="K24" i="2"/>
  <c r="L24" i="2"/>
  <c r="M24" i="2"/>
  <c r="J25" i="2"/>
  <c r="K25" i="2"/>
  <c r="L25" i="2"/>
  <c r="M25" i="2"/>
  <c r="J27" i="2"/>
  <c r="K27" i="2"/>
  <c r="L27" i="2"/>
  <c r="M27" i="2"/>
  <c r="J29" i="2"/>
  <c r="K29" i="2"/>
  <c r="L29" i="2"/>
  <c r="M29" i="2"/>
  <c r="J30" i="2"/>
  <c r="K30" i="2"/>
  <c r="L30" i="2"/>
  <c r="M30" i="2"/>
  <c r="J32" i="2"/>
  <c r="K32" i="2"/>
  <c r="L32" i="2"/>
  <c r="M32" i="2"/>
  <c r="J38" i="2"/>
  <c r="K38" i="2"/>
  <c r="L38" i="2"/>
  <c r="M38" i="2"/>
  <c r="J39" i="2"/>
  <c r="K39" i="2"/>
  <c r="L39" i="2"/>
  <c r="M39" i="2"/>
  <c r="J40" i="2"/>
  <c r="K40" i="2"/>
  <c r="L40" i="2"/>
  <c r="M40" i="2"/>
  <c r="J41" i="2"/>
  <c r="K41" i="2"/>
  <c r="L41" i="2"/>
  <c r="M41" i="2"/>
  <c r="J43" i="2"/>
  <c r="K43" i="2"/>
  <c r="L43" i="2"/>
  <c r="M43" i="2"/>
  <c r="J45" i="2"/>
  <c r="K45" i="2"/>
  <c r="L45" i="2"/>
  <c r="M45" i="2"/>
  <c r="J46" i="2"/>
  <c r="K46" i="2"/>
  <c r="L46" i="2"/>
  <c r="M46" i="2"/>
  <c r="J48" i="2"/>
  <c r="K48" i="2"/>
  <c r="L48" i="2"/>
  <c r="M48" i="2"/>
  <c r="J54" i="2"/>
  <c r="K54" i="2"/>
  <c r="L54" i="2"/>
  <c r="M54" i="2"/>
  <c r="J55" i="2"/>
  <c r="K55" i="2"/>
  <c r="L55" i="2"/>
  <c r="M55" i="2"/>
  <c r="J56" i="2"/>
  <c r="K56" i="2"/>
  <c r="L56" i="2"/>
  <c r="M56" i="2"/>
  <c r="J57" i="2"/>
  <c r="K57" i="2"/>
  <c r="L57" i="2"/>
  <c r="M57" i="2"/>
  <c r="J59" i="2"/>
  <c r="K59" i="2"/>
  <c r="L59" i="2"/>
  <c r="M59" i="2"/>
  <c r="J61" i="2"/>
  <c r="K61" i="2"/>
  <c r="L61" i="2"/>
  <c r="M61" i="2"/>
  <c r="J62" i="2"/>
  <c r="K62" i="2"/>
  <c r="L62" i="2"/>
  <c r="M62" i="2"/>
  <c r="J64" i="2"/>
  <c r="K64" i="2"/>
  <c r="L64" i="2"/>
  <c r="M64" i="2"/>
  <c r="J70" i="2"/>
  <c r="K70" i="2"/>
  <c r="L70" i="2"/>
  <c r="M70" i="2"/>
  <c r="J71" i="2"/>
  <c r="K71" i="2"/>
  <c r="L71" i="2"/>
  <c r="M71" i="2"/>
  <c r="J72" i="2"/>
  <c r="K72" i="2"/>
  <c r="L72" i="2"/>
  <c r="M72" i="2"/>
  <c r="J73" i="2"/>
  <c r="K73" i="2"/>
  <c r="L73" i="2"/>
  <c r="M73" i="2"/>
  <c r="J75" i="2"/>
  <c r="K75" i="2"/>
  <c r="L75" i="2"/>
  <c r="M75" i="2"/>
  <c r="J77" i="2"/>
  <c r="K77" i="2"/>
  <c r="L77" i="2"/>
  <c r="M77" i="2"/>
  <c r="J78" i="2"/>
  <c r="K78" i="2"/>
  <c r="L78" i="2"/>
  <c r="M78" i="2"/>
  <c r="J80" i="2"/>
  <c r="K80" i="2"/>
  <c r="L80" i="2"/>
  <c r="M80" i="2"/>
  <c r="E86" i="2"/>
  <c r="H86" i="2"/>
  <c r="J86" i="2"/>
  <c r="K86" i="2"/>
  <c r="E87" i="2"/>
  <c r="H87" i="2"/>
  <c r="J87" i="2"/>
  <c r="K87" i="2"/>
  <c r="E88" i="2"/>
  <c r="H88" i="2"/>
  <c r="J88" i="2"/>
  <c r="K88" i="2"/>
  <c r="E89" i="2"/>
  <c r="L105" i="2" s="1"/>
  <c r="H89" i="2"/>
  <c r="J89" i="2"/>
  <c r="K89" i="2"/>
  <c r="C91" i="2"/>
  <c r="D91" i="2"/>
  <c r="K107" i="2"/>
  <c r="F91" i="2"/>
  <c r="F96" i="2" s="1"/>
  <c r="G91" i="2"/>
  <c r="G96" i="2"/>
  <c r="J93" i="2"/>
  <c r="K93" i="2"/>
  <c r="L93" i="2"/>
  <c r="M93" i="2"/>
  <c r="E94" i="2"/>
  <c r="M94" i="2" s="1"/>
  <c r="J94" i="2"/>
  <c r="K94" i="2"/>
  <c r="J102" i="2"/>
  <c r="K102" i="2"/>
  <c r="J103" i="2"/>
  <c r="K103" i="2"/>
  <c r="J104" i="2"/>
  <c r="K104" i="2"/>
  <c r="J105" i="2"/>
  <c r="K105" i="2"/>
  <c r="J109" i="2"/>
  <c r="K109" i="2"/>
  <c r="L109" i="2"/>
  <c r="M109" i="2"/>
  <c r="J110" i="2"/>
  <c r="K110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3" i="2"/>
  <c r="K123" i="2"/>
  <c r="L123" i="2"/>
  <c r="M123" i="2"/>
  <c r="J125" i="2"/>
  <c r="K125" i="2"/>
  <c r="L125" i="2"/>
  <c r="M125" i="2"/>
  <c r="J126" i="2"/>
  <c r="K126" i="2"/>
  <c r="L126" i="2"/>
  <c r="M126" i="2"/>
  <c r="J128" i="2"/>
  <c r="K128" i="2"/>
  <c r="L128" i="2"/>
  <c r="M128" i="2"/>
  <c r="J134" i="2"/>
  <c r="K134" i="2"/>
  <c r="L134" i="2"/>
  <c r="M134" i="2"/>
  <c r="J135" i="2"/>
  <c r="K135" i="2"/>
  <c r="L135" i="2"/>
  <c r="M135" i="2"/>
  <c r="J136" i="2"/>
  <c r="K136" i="2"/>
  <c r="L136" i="2"/>
  <c r="M136" i="2"/>
  <c r="J137" i="2"/>
  <c r="K137" i="2"/>
  <c r="L137" i="2"/>
  <c r="M137" i="2"/>
  <c r="J139" i="2"/>
  <c r="K139" i="2"/>
  <c r="L139" i="2"/>
  <c r="M139" i="2"/>
  <c r="J141" i="2"/>
  <c r="K141" i="2"/>
  <c r="L141" i="2"/>
  <c r="M141" i="2"/>
  <c r="J142" i="2"/>
  <c r="K142" i="2"/>
  <c r="L142" i="2"/>
  <c r="M142" i="2"/>
  <c r="J144" i="2"/>
  <c r="K144" i="2"/>
  <c r="L144" i="2"/>
  <c r="M144" i="2"/>
  <c r="J151" i="2"/>
  <c r="K151" i="2"/>
  <c r="L151" i="2"/>
  <c r="M151" i="2"/>
  <c r="J152" i="2"/>
  <c r="K152" i="2"/>
  <c r="L152" i="2"/>
  <c r="M152" i="2"/>
  <c r="J153" i="2"/>
  <c r="K153" i="2"/>
  <c r="L153" i="2"/>
  <c r="M153" i="2"/>
  <c r="J154" i="2"/>
  <c r="K154" i="2"/>
  <c r="L154" i="2"/>
  <c r="M154" i="2"/>
  <c r="J156" i="2"/>
  <c r="K156" i="2"/>
  <c r="L156" i="2"/>
  <c r="M156" i="2"/>
  <c r="J158" i="2"/>
  <c r="K158" i="2"/>
  <c r="L158" i="2"/>
  <c r="M158" i="2"/>
  <c r="J159" i="2"/>
  <c r="K159" i="2"/>
  <c r="L159" i="2"/>
  <c r="M159" i="2"/>
  <c r="J161" i="2"/>
  <c r="K161" i="2"/>
  <c r="L161" i="2"/>
  <c r="M161" i="2"/>
  <c r="J168" i="2"/>
  <c r="K168" i="2"/>
  <c r="L168" i="2"/>
  <c r="M168" i="2"/>
  <c r="J169" i="2"/>
  <c r="K169" i="2"/>
  <c r="L169" i="2"/>
  <c r="M169" i="2"/>
  <c r="J170" i="2"/>
  <c r="K170" i="2"/>
  <c r="L170" i="2"/>
  <c r="M170" i="2"/>
  <c r="J171" i="2"/>
  <c r="K171" i="2"/>
  <c r="L171" i="2"/>
  <c r="M171" i="2"/>
  <c r="J173" i="2"/>
  <c r="K173" i="2"/>
  <c r="L173" i="2"/>
  <c r="M173" i="2"/>
  <c r="J175" i="2"/>
  <c r="K175" i="2"/>
  <c r="L175" i="2"/>
  <c r="M175" i="2"/>
  <c r="J176" i="2"/>
  <c r="K176" i="2"/>
  <c r="L176" i="2"/>
  <c r="M176" i="2"/>
  <c r="J178" i="2"/>
  <c r="K178" i="2"/>
  <c r="L178" i="2"/>
  <c r="M178" i="2"/>
  <c r="J185" i="2"/>
  <c r="K185" i="2"/>
  <c r="L185" i="2"/>
  <c r="M185" i="2"/>
  <c r="J186" i="2"/>
  <c r="K186" i="2"/>
  <c r="L186" i="2"/>
  <c r="M186" i="2"/>
  <c r="J187" i="2"/>
  <c r="K187" i="2"/>
  <c r="L187" i="2"/>
  <c r="M187" i="2"/>
  <c r="J188" i="2"/>
  <c r="K188" i="2"/>
  <c r="L188" i="2"/>
  <c r="M188" i="2"/>
  <c r="J190" i="2"/>
  <c r="K190" i="2"/>
  <c r="L190" i="2"/>
  <c r="M190" i="2"/>
  <c r="J192" i="2"/>
  <c r="K192" i="2"/>
  <c r="L192" i="2"/>
  <c r="M192" i="2"/>
  <c r="J193" i="2"/>
  <c r="K193" i="2"/>
  <c r="L193" i="2"/>
  <c r="M193" i="2"/>
  <c r="J195" i="2"/>
  <c r="K195" i="2"/>
  <c r="L195" i="2"/>
  <c r="M195" i="2"/>
  <c r="J202" i="2"/>
  <c r="K202" i="2"/>
  <c r="L202" i="2"/>
  <c r="M202" i="2"/>
  <c r="J203" i="2"/>
  <c r="K203" i="2"/>
  <c r="L203" i="2"/>
  <c r="M203" i="2"/>
  <c r="J204" i="2"/>
  <c r="K204" i="2"/>
  <c r="L204" i="2"/>
  <c r="M204" i="2"/>
  <c r="J205" i="2"/>
  <c r="K205" i="2"/>
  <c r="L205" i="2"/>
  <c r="M205" i="2"/>
  <c r="J207" i="2"/>
  <c r="K207" i="2"/>
  <c r="L207" i="2"/>
  <c r="M207" i="2"/>
  <c r="J209" i="2"/>
  <c r="K209" i="2"/>
  <c r="L209" i="2"/>
  <c r="M209" i="2"/>
  <c r="J210" i="2"/>
  <c r="K210" i="2"/>
  <c r="L210" i="2"/>
  <c r="M210" i="2"/>
  <c r="J212" i="2"/>
  <c r="K212" i="2"/>
  <c r="L212" i="2"/>
  <c r="M212" i="2"/>
  <c r="J219" i="2"/>
  <c r="K219" i="2"/>
  <c r="L219" i="2"/>
  <c r="M219" i="2"/>
  <c r="J220" i="2"/>
  <c r="K220" i="2"/>
  <c r="L220" i="2"/>
  <c r="M220" i="2"/>
  <c r="J221" i="2"/>
  <c r="K221" i="2"/>
  <c r="L221" i="2"/>
  <c r="M221" i="2"/>
  <c r="J222" i="2"/>
  <c r="K222" i="2"/>
  <c r="L222" i="2"/>
  <c r="M222" i="2"/>
  <c r="J224" i="2"/>
  <c r="K224" i="2"/>
  <c r="L224" i="2"/>
  <c r="M224" i="2"/>
  <c r="E226" i="2"/>
  <c r="M243" i="2" s="1"/>
  <c r="J226" i="2"/>
  <c r="K226" i="2"/>
  <c r="J227" i="2"/>
  <c r="K227" i="2"/>
  <c r="L227" i="2"/>
  <c r="M227" i="2"/>
  <c r="J229" i="2"/>
  <c r="K229" i="2"/>
  <c r="L229" i="2"/>
  <c r="M229" i="2"/>
  <c r="J236" i="2"/>
  <c r="K236" i="2"/>
  <c r="L236" i="2"/>
  <c r="M236" i="2"/>
  <c r="J237" i="2"/>
  <c r="K237" i="2"/>
  <c r="L237" i="2"/>
  <c r="M237" i="2"/>
  <c r="J238" i="2"/>
  <c r="K238" i="2"/>
  <c r="L238" i="2"/>
  <c r="M238" i="2"/>
  <c r="J239" i="2"/>
  <c r="K239" i="2"/>
  <c r="L239" i="2"/>
  <c r="M239" i="2"/>
  <c r="J241" i="2"/>
  <c r="K241" i="2"/>
  <c r="L241" i="2"/>
  <c r="M241" i="2"/>
  <c r="J243" i="2"/>
  <c r="K243" i="2"/>
  <c r="J244" i="2"/>
  <c r="K244" i="2"/>
  <c r="L244" i="2"/>
  <c r="M244" i="2"/>
  <c r="J246" i="2"/>
  <c r="K246" i="2"/>
  <c r="L246" i="2"/>
  <c r="M246" i="2"/>
  <c r="J253" i="2"/>
  <c r="K253" i="2"/>
  <c r="L253" i="2"/>
  <c r="M253" i="2"/>
  <c r="J254" i="2"/>
  <c r="K254" i="2"/>
  <c r="L254" i="2"/>
  <c r="M254" i="2"/>
  <c r="J255" i="2"/>
  <c r="K255" i="2"/>
  <c r="L255" i="2"/>
  <c r="M255" i="2"/>
  <c r="J256" i="2"/>
  <c r="K256" i="2"/>
  <c r="L256" i="2"/>
  <c r="M256" i="2"/>
  <c r="J258" i="2"/>
  <c r="K258" i="2"/>
  <c r="L258" i="2"/>
  <c r="M258" i="2"/>
  <c r="J260" i="2"/>
  <c r="K260" i="2"/>
  <c r="L260" i="2"/>
  <c r="M260" i="2"/>
  <c r="J261" i="2"/>
  <c r="K261" i="2"/>
  <c r="L261" i="2"/>
  <c r="M261" i="2"/>
  <c r="J263" i="2"/>
  <c r="K263" i="2"/>
  <c r="L263" i="2"/>
  <c r="M263" i="2"/>
  <c r="J270" i="2"/>
  <c r="K270" i="2"/>
  <c r="L270" i="2"/>
  <c r="M270" i="2"/>
  <c r="J271" i="2"/>
  <c r="K271" i="2"/>
  <c r="L271" i="2"/>
  <c r="M271" i="2"/>
  <c r="J272" i="2"/>
  <c r="K272" i="2"/>
  <c r="L272" i="2"/>
  <c r="M272" i="2"/>
  <c r="J273" i="2"/>
  <c r="K273" i="2"/>
  <c r="L273" i="2"/>
  <c r="M273" i="2"/>
  <c r="J274" i="2"/>
  <c r="K274" i="2"/>
  <c r="L274" i="2"/>
  <c r="M274" i="2"/>
  <c r="J275" i="2"/>
  <c r="K275" i="2"/>
  <c r="L275" i="2"/>
  <c r="M275" i="2"/>
  <c r="J276" i="2"/>
  <c r="K276" i="2"/>
  <c r="L276" i="2"/>
  <c r="M276" i="2"/>
  <c r="J277" i="2"/>
  <c r="K277" i="2"/>
  <c r="L277" i="2"/>
  <c r="M277" i="2"/>
  <c r="J284" i="2"/>
  <c r="K284" i="2"/>
  <c r="L284" i="2"/>
  <c r="M284" i="2" s="1"/>
  <c r="J285" i="2"/>
  <c r="K285" i="2"/>
  <c r="L285" i="2"/>
  <c r="M285" i="2" s="1"/>
  <c r="J286" i="2"/>
  <c r="K286" i="2"/>
  <c r="L286" i="2"/>
  <c r="M286" i="2" s="1"/>
  <c r="J287" i="2"/>
  <c r="K287" i="2"/>
  <c r="L287" i="2"/>
  <c r="M287" i="2" s="1"/>
  <c r="J288" i="2"/>
  <c r="K288" i="2"/>
  <c r="L288" i="2"/>
  <c r="M288" i="2" s="1"/>
  <c r="J289" i="2"/>
  <c r="K289" i="2"/>
  <c r="L289" i="2"/>
  <c r="M289" i="2" s="1"/>
  <c r="J290" i="2"/>
  <c r="K290" i="2"/>
  <c r="L290" i="2"/>
  <c r="M290" i="2" s="1"/>
  <c r="J291" i="2"/>
  <c r="K291" i="2"/>
  <c r="L291" i="2"/>
  <c r="M291" i="2" s="1"/>
  <c r="J298" i="2"/>
  <c r="K298" i="2"/>
  <c r="L298" i="2"/>
  <c r="M298" i="2" s="1"/>
  <c r="J299" i="2"/>
  <c r="K299" i="2"/>
  <c r="L299" i="2"/>
  <c r="M299" i="2" s="1"/>
  <c r="J300" i="2"/>
  <c r="K300" i="2"/>
  <c r="L300" i="2"/>
  <c r="M300" i="2" s="1"/>
  <c r="J301" i="2"/>
  <c r="K301" i="2"/>
  <c r="L301" i="2"/>
  <c r="M301" i="2" s="1"/>
  <c r="J302" i="2"/>
  <c r="K302" i="2"/>
  <c r="L302" i="2"/>
  <c r="M302" i="2" s="1"/>
  <c r="J303" i="2"/>
  <c r="K303" i="2"/>
  <c r="L303" i="2"/>
  <c r="M303" i="2" s="1"/>
  <c r="J304" i="2"/>
  <c r="K304" i="2"/>
  <c r="L304" i="2"/>
  <c r="M304" i="2" s="1"/>
  <c r="J305" i="2"/>
  <c r="K305" i="2"/>
  <c r="L305" i="2"/>
  <c r="M305" i="2" s="1"/>
  <c r="J312" i="2"/>
  <c r="K312" i="2"/>
  <c r="L312" i="2"/>
  <c r="M312" i="2" s="1"/>
  <c r="J313" i="2"/>
  <c r="K313" i="2"/>
  <c r="L313" i="2"/>
  <c r="M313" i="2" s="1"/>
  <c r="J314" i="2"/>
  <c r="K314" i="2"/>
  <c r="L314" i="2"/>
  <c r="M314" i="2" s="1"/>
  <c r="J315" i="2"/>
  <c r="K315" i="2"/>
  <c r="L315" i="2"/>
  <c r="M315" i="2" s="1"/>
  <c r="J316" i="2"/>
  <c r="K316" i="2"/>
  <c r="L316" i="2"/>
  <c r="M316" i="2" s="1"/>
  <c r="J317" i="2"/>
  <c r="K317" i="2"/>
  <c r="L317" i="2"/>
  <c r="M317" i="2" s="1"/>
  <c r="J318" i="2"/>
  <c r="K318" i="2"/>
  <c r="L318" i="2"/>
  <c r="M318" i="2" s="1"/>
  <c r="J319" i="2"/>
  <c r="K319" i="2"/>
  <c r="L319" i="2"/>
  <c r="M319" i="2" s="1"/>
  <c r="J326" i="2"/>
  <c r="K326" i="2"/>
  <c r="L326" i="2"/>
  <c r="M326" i="2" s="1"/>
  <c r="J327" i="2"/>
  <c r="K327" i="2"/>
  <c r="L327" i="2"/>
  <c r="M327" i="2" s="1"/>
  <c r="J328" i="2"/>
  <c r="K328" i="2"/>
  <c r="L328" i="2"/>
  <c r="M328" i="2" s="1"/>
  <c r="J329" i="2"/>
  <c r="K329" i="2"/>
  <c r="L329" i="2"/>
  <c r="M329" i="2" s="1"/>
  <c r="J330" i="2"/>
  <c r="K330" i="2"/>
  <c r="L330" i="2"/>
  <c r="M330" i="2" s="1"/>
  <c r="J331" i="2"/>
  <c r="K331" i="2"/>
  <c r="L331" i="2"/>
  <c r="M331" i="2" s="1"/>
  <c r="J332" i="2"/>
  <c r="K332" i="2"/>
  <c r="L332" i="2"/>
  <c r="M332" i="2" s="1"/>
  <c r="J333" i="2"/>
  <c r="K333" i="2"/>
  <c r="L333" i="2"/>
  <c r="M333" i="2" s="1"/>
  <c r="J340" i="2"/>
  <c r="K340" i="2"/>
  <c r="L340" i="2"/>
  <c r="M340" i="2" s="1"/>
  <c r="J341" i="2"/>
  <c r="K341" i="2"/>
  <c r="L341" i="2"/>
  <c r="M341" i="2" s="1"/>
  <c r="J342" i="2"/>
  <c r="K342" i="2"/>
  <c r="L342" i="2"/>
  <c r="M342" i="2" s="1"/>
  <c r="J343" i="2"/>
  <c r="K343" i="2"/>
  <c r="L343" i="2"/>
  <c r="M343" i="2" s="1"/>
  <c r="J344" i="2"/>
  <c r="K344" i="2"/>
  <c r="L344" i="2"/>
  <c r="M344" i="2" s="1"/>
  <c r="J345" i="2"/>
  <c r="K345" i="2"/>
  <c r="L345" i="2"/>
  <c r="M345" i="2" s="1"/>
  <c r="J346" i="2"/>
  <c r="K346" i="2"/>
  <c r="L346" i="2"/>
  <c r="M346" i="2" s="1"/>
  <c r="J347" i="2"/>
  <c r="K347" i="2"/>
  <c r="L347" i="2"/>
  <c r="M347" i="2" s="1"/>
  <c r="J354" i="2"/>
  <c r="K354" i="2"/>
  <c r="L354" i="2"/>
  <c r="M354" i="2" s="1"/>
  <c r="J355" i="2"/>
  <c r="K355" i="2"/>
  <c r="L355" i="2"/>
  <c r="M355" i="2" s="1"/>
  <c r="J356" i="2"/>
  <c r="K356" i="2"/>
  <c r="L356" i="2"/>
  <c r="M356" i="2" s="1"/>
  <c r="J357" i="2"/>
  <c r="K357" i="2"/>
  <c r="L357" i="2"/>
  <c r="M357" i="2" s="1"/>
  <c r="J358" i="2"/>
  <c r="K358" i="2"/>
  <c r="L358" i="2"/>
  <c r="M358" i="2" s="1"/>
  <c r="J359" i="2"/>
  <c r="K359" i="2"/>
  <c r="L359" i="2"/>
  <c r="M359" i="2" s="1"/>
  <c r="J360" i="2"/>
  <c r="K360" i="2"/>
  <c r="L360" i="2"/>
  <c r="M360" i="2" s="1"/>
  <c r="J361" i="2"/>
  <c r="K361" i="2"/>
  <c r="L361" i="2"/>
  <c r="M361" i="2" s="1"/>
  <c r="J368" i="2"/>
  <c r="K368" i="2"/>
  <c r="L368" i="2"/>
  <c r="M368" i="2" s="1"/>
  <c r="J369" i="2"/>
  <c r="K369" i="2"/>
  <c r="L369" i="2"/>
  <c r="M369" i="2" s="1"/>
  <c r="J370" i="2"/>
  <c r="K370" i="2"/>
  <c r="L370" i="2"/>
  <c r="M370" i="2" s="1"/>
  <c r="J371" i="2"/>
  <c r="K371" i="2"/>
  <c r="L371" i="2"/>
  <c r="M371" i="2" s="1"/>
  <c r="J372" i="2"/>
  <c r="K372" i="2"/>
  <c r="L372" i="2"/>
  <c r="M372" i="2" s="1"/>
  <c r="J373" i="2"/>
  <c r="K373" i="2"/>
  <c r="L373" i="2"/>
  <c r="M373" i="2" s="1"/>
  <c r="J374" i="2"/>
  <c r="K374" i="2"/>
  <c r="L374" i="2"/>
  <c r="M374" i="2" s="1"/>
  <c r="J375" i="2"/>
  <c r="K375" i="2"/>
  <c r="L375" i="2"/>
  <c r="M375" i="2" s="1"/>
  <c r="J382" i="2"/>
  <c r="K382" i="2"/>
  <c r="L382" i="2"/>
  <c r="M382" i="2" s="1"/>
  <c r="J383" i="2"/>
  <c r="K383" i="2"/>
  <c r="L383" i="2"/>
  <c r="M383" i="2" s="1"/>
  <c r="J384" i="2"/>
  <c r="K384" i="2"/>
  <c r="L384" i="2"/>
  <c r="M384" i="2" s="1"/>
  <c r="J385" i="2"/>
  <c r="K385" i="2"/>
  <c r="L385" i="2"/>
  <c r="M385" i="2" s="1"/>
  <c r="J386" i="2"/>
  <c r="K386" i="2"/>
  <c r="L386" i="2"/>
  <c r="M386" i="2" s="1"/>
  <c r="J387" i="2"/>
  <c r="K387" i="2"/>
  <c r="L387" i="2"/>
  <c r="M387" i="2" s="1"/>
  <c r="J388" i="2"/>
  <c r="K388" i="2"/>
  <c r="L388" i="2"/>
  <c r="M388" i="2" s="1"/>
  <c r="J389" i="2"/>
  <c r="K389" i="2"/>
  <c r="L389" i="2"/>
  <c r="M389" i="2" s="1"/>
  <c r="J396" i="2"/>
  <c r="K396" i="2"/>
  <c r="L396" i="2"/>
  <c r="M396" i="2" s="1"/>
  <c r="J397" i="2"/>
  <c r="K397" i="2"/>
  <c r="L397" i="2"/>
  <c r="M397" i="2" s="1"/>
  <c r="J398" i="2"/>
  <c r="K398" i="2"/>
  <c r="L398" i="2"/>
  <c r="M398" i="2" s="1"/>
  <c r="J399" i="2"/>
  <c r="K399" i="2"/>
  <c r="L399" i="2"/>
  <c r="M399" i="2" s="1"/>
  <c r="J400" i="2"/>
  <c r="K400" i="2"/>
  <c r="L400" i="2"/>
  <c r="M400" i="2" s="1"/>
  <c r="J401" i="2"/>
  <c r="K401" i="2"/>
  <c r="L401" i="2"/>
  <c r="M401" i="2" s="1"/>
  <c r="J402" i="2"/>
  <c r="K402" i="2"/>
  <c r="L402" i="2"/>
  <c r="M402" i="2" s="1"/>
  <c r="J403" i="2"/>
  <c r="K403" i="2"/>
  <c r="L403" i="2"/>
  <c r="M403" i="2" s="1"/>
  <c r="J410" i="2"/>
  <c r="K410" i="2"/>
  <c r="L410" i="2"/>
  <c r="M410" i="2" s="1"/>
  <c r="J411" i="2"/>
  <c r="K411" i="2"/>
  <c r="L411" i="2"/>
  <c r="M411" i="2" s="1"/>
  <c r="J412" i="2"/>
  <c r="K412" i="2"/>
  <c r="L412" i="2"/>
  <c r="M412" i="2" s="1"/>
  <c r="J413" i="2"/>
  <c r="K413" i="2"/>
  <c r="L413" i="2"/>
  <c r="M413" i="2" s="1"/>
  <c r="J414" i="2"/>
  <c r="K414" i="2"/>
  <c r="L414" i="2"/>
  <c r="M414" i="2" s="1"/>
  <c r="J415" i="2"/>
  <c r="K415" i="2"/>
  <c r="L415" i="2"/>
  <c r="M415" i="2" s="1"/>
  <c r="J416" i="2"/>
  <c r="K416" i="2"/>
  <c r="L416" i="2"/>
  <c r="M416" i="2" s="1"/>
  <c r="J417" i="2"/>
  <c r="K417" i="2"/>
  <c r="L417" i="2"/>
  <c r="M417" i="2" s="1"/>
  <c r="J424" i="2"/>
  <c r="K424" i="2"/>
  <c r="L424" i="2"/>
  <c r="M424" i="2" s="1"/>
  <c r="J425" i="2"/>
  <c r="K425" i="2"/>
  <c r="L425" i="2"/>
  <c r="M425" i="2" s="1"/>
  <c r="J426" i="2"/>
  <c r="K426" i="2"/>
  <c r="L426" i="2"/>
  <c r="M426" i="2" s="1"/>
  <c r="J427" i="2"/>
  <c r="K427" i="2"/>
  <c r="L427" i="2"/>
  <c r="M427" i="2" s="1"/>
  <c r="J428" i="2"/>
  <c r="K428" i="2"/>
  <c r="L428" i="2"/>
  <c r="M428" i="2" s="1"/>
  <c r="J429" i="2"/>
  <c r="K429" i="2"/>
  <c r="L429" i="2"/>
  <c r="M429" i="2" s="1"/>
  <c r="J430" i="2"/>
  <c r="K430" i="2"/>
  <c r="L430" i="2"/>
  <c r="M430" i="2" s="1"/>
  <c r="J431" i="2"/>
  <c r="K431" i="2"/>
  <c r="L431" i="2"/>
  <c r="M431" i="2" s="1"/>
  <c r="J438" i="2"/>
  <c r="K438" i="2"/>
  <c r="L438" i="2"/>
  <c r="M438" i="2" s="1"/>
  <c r="J439" i="2"/>
  <c r="K439" i="2"/>
  <c r="L439" i="2"/>
  <c r="M439" i="2" s="1"/>
  <c r="J440" i="2"/>
  <c r="K440" i="2"/>
  <c r="L440" i="2"/>
  <c r="M440" i="2" s="1"/>
  <c r="J441" i="2"/>
  <c r="K441" i="2"/>
  <c r="L441" i="2"/>
  <c r="M441" i="2" s="1"/>
  <c r="J442" i="2"/>
  <c r="K442" i="2"/>
  <c r="L442" i="2"/>
  <c r="M442" i="2" s="1"/>
  <c r="J443" i="2"/>
  <c r="K443" i="2"/>
  <c r="L443" i="2"/>
  <c r="M443" i="2" s="1"/>
  <c r="J444" i="2"/>
  <c r="K444" i="2"/>
  <c r="L444" i="2"/>
  <c r="M444" i="2" s="1"/>
  <c r="J445" i="2"/>
  <c r="K445" i="2"/>
  <c r="L445" i="2"/>
  <c r="M445" i="2" s="1"/>
  <c r="J452" i="2"/>
  <c r="K452" i="2"/>
  <c r="L452" i="2"/>
  <c r="M452" i="2" s="1"/>
  <c r="J453" i="2"/>
  <c r="K453" i="2"/>
  <c r="L453" i="2"/>
  <c r="M453" i="2" s="1"/>
  <c r="J454" i="2"/>
  <c r="K454" i="2"/>
  <c r="L454" i="2"/>
  <c r="M454" i="2" s="1"/>
  <c r="J455" i="2"/>
  <c r="K455" i="2"/>
  <c r="L455" i="2"/>
  <c r="M455" i="2" s="1"/>
  <c r="J456" i="2"/>
  <c r="K456" i="2"/>
  <c r="L456" i="2"/>
  <c r="M456" i="2" s="1"/>
  <c r="J457" i="2"/>
  <c r="K457" i="2"/>
  <c r="L457" i="2"/>
  <c r="M457" i="2" s="1"/>
  <c r="J458" i="2"/>
  <c r="K458" i="2"/>
  <c r="L458" i="2"/>
  <c r="M458" i="2" s="1"/>
  <c r="J459" i="2"/>
  <c r="K459" i="2"/>
  <c r="L459" i="2"/>
  <c r="M459" i="2" s="1"/>
  <c r="BJ2" i="1"/>
  <c r="L30" i="36"/>
  <c r="G51" i="36"/>
  <c r="I51" i="36" s="1"/>
  <c r="M47" i="36"/>
  <c r="H48" i="36"/>
  <c r="M16" i="36"/>
  <c r="C103" i="36"/>
  <c r="L103" i="36" s="1"/>
  <c r="N103" i="36" s="1"/>
  <c r="H66" i="36"/>
  <c r="G13" i="36"/>
  <c r="M75" i="36"/>
  <c r="L28" i="36"/>
  <c r="M52" i="36"/>
  <c r="CG2" i="1"/>
  <c r="CY2" i="1"/>
  <c r="G76" i="36"/>
  <c r="I76" i="36" s="1"/>
  <c r="DF2" i="1"/>
  <c r="DI3" i="1"/>
  <c r="G71" i="36"/>
  <c r="I71" i="36" s="1"/>
  <c r="DG2" i="1"/>
  <c r="DH3" i="1"/>
  <c r="CQ5" i="1"/>
  <c r="B21" i="74"/>
  <c r="F19" i="74" s="1"/>
  <c r="DA5" i="1"/>
  <c r="B18" i="84"/>
  <c r="G58" i="36"/>
  <c r="I58" i="36" s="1"/>
  <c r="M62" i="36"/>
  <c r="K91" i="2"/>
  <c r="Q4" i="41"/>
  <c r="Q5" i="41" s="1"/>
  <c r="DK2" i="1"/>
  <c r="G83" i="36"/>
  <c r="Q2" i="41"/>
  <c r="L34" i="36"/>
  <c r="G66" i="36"/>
  <c r="B18" i="89"/>
  <c r="B18" i="90"/>
  <c r="DB2" i="1"/>
  <c r="B18" i="97"/>
  <c r="B18" i="98"/>
  <c r="B18" i="99"/>
  <c r="M7" i="36"/>
  <c r="L8" i="36"/>
  <c r="CZ2" i="1"/>
  <c r="B21" i="83"/>
  <c r="B18" i="100"/>
  <c r="L90" i="36"/>
  <c r="H274" i="65"/>
  <c r="M21" i="36"/>
  <c r="H86" i="36"/>
  <c r="B18" i="105"/>
  <c r="DU2" i="1"/>
  <c r="DV2" i="1"/>
  <c r="DR2" i="1"/>
  <c r="B18" i="109"/>
  <c r="B18" i="107"/>
  <c r="H97" i="36"/>
  <c r="B18" i="111"/>
  <c r="O3" i="41"/>
  <c r="M96" i="36"/>
  <c r="DW2" i="1"/>
  <c r="B18" i="108"/>
  <c r="DY2" i="1"/>
  <c r="M103" i="2"/>
  <c r="M26" i="36"/>
  <c r="H100" i="36"/>
  <c r="G8" i="36"/>
  <c r="M2" i="36"/>
  <c r="B21" i="48"/>
  <c r="F20" i="48" s="1"/>
  <c r="L89" i="2"/>
  <c r="M89" i="2"/>
  <c r="M105" i="2"/>
  <c r="DR3" i="1"/>
  <c r="B18" i="101"/>
  <c r="M88" i="2"/>
  <c r="L98" i="36"/>
  <c r="H85" i="36"/>
  <c r="B21" i="81"/>
  <c r="CX3" i="1"/>
  <c r="H103" i="36"/>
  <c r="BF3" i="1"/>
  <c r="H95" i="36"/>
  <c r="L104" i="36"/>
  <c r="B16" i="115"/>
  <c r="B18" i="115"/>
  <c r="B104" i="36"/>
  <c r="B16" i="114"/>
  <c r="EE4" i="1" s="1"/>
  <c r="EI2" i="1"/>
  <c r="B18" i="120"/>
  <c r="M108" i="36"/>
  <c r="B16" i="116"/>
  <c r="EG4" i="1" s="1"/>
  <c r="B18" i="121"/>
  <c r="B18" i="118"/>
  <c r="B18" i="122"/>
  <c r="B19" i="32"/>
  <c r="B21" i="32" s="1"/>
  <c r="H108" i="36"/>
  <c r="H3" i="36"/>
  <c r="CU3" i="1"/>
  <c r="G30" i="36"/>
  <c r="BZ3" i="1"/>
  <c r="B20" i="56"/>
  <c r="F19" i="56" s="1"/>
  <c r="CB5" i="1"/>
  <c r="B20" i="58"/>
  <c r="D51" i="36"/>
  <c r="M50" i="36" s="1"/>
  <c r="B19" i="61"/>
  <c r="B21" i="61"/>
  <c r="HY19" i="1"/>
  <c r="HZ19" i="1" s="1"/>
  <c r="H223" i="65"/>
  <c r="DC2" i="1"/>
  <c r="B18" i="86"/>
  <c r="DM4" i="1"/>
  <c r="B18" i="96"/>
  <c r="G105" i="36"/>
  <c r="B18" i="119"/>
  <c r="L20" i="36"/>
  <c r="B18" i="110"/>
  <c r="CL2" i="1"/>
  <c r="L53" i="36"/>
  <c r="H26" i="36"/>
  <c r="M22" i="36"/>
  <c r="BI5" i="1"/>
  <c r="G84" i="36"/>
  <c r="P85" i="36"/>
  <c r="DW3" i="1"/>
  <c r="B18" i="106"/>
  <c r="M99" i="36"/>
  <c r="D96" i="2"/>
  <c r="K112" i="2" s="1"/>
  <c r="B18" i="88"/>
  <c r="L84" i="36"/>
  <c r="B21" i="80"/>
  <c r="H28" i="36"/>
  <c r="BL2" i="1"/>
  <c r="B21" i="40"/>
  <c r="F17" i="40"/>
  <c r="G6" i="41"/>
  <c r="G5" i="41"/>
  <c r="S3" i="41"/>
  <c r="BM4" i="1"/>
  <c r="BO4" i="1"/>
  <c r="B21" i="44"/>
  <c r="F20" i="44" s="1"/>
  <c r="H34" i="36"/>
  <c r="BS3" i="1"/>
  <c r="CA3" i="1"/>
  <c r="B20" i="57"/>
  <c r="H15" i="36"/>
  <c r="L14" i="36"/>
  <c r="BK2" i="1"/>
  <c r="G33" i="41"/>
  <c r="O2" i="41"/>
  <c r="BQ2" i="1"/>
  <c r="B21" i="47"/>
  <c r="F19" i="47" s="1"/>
  <c r="L111" i="36"/>
  <c r="BV3" i="1"/>
  <c r="EN4" i="1"/>
  <c r="B18" i="123"/>
  <c r="B21" i="43"/>
  <c r="F19" i="43" s="1"/>
  <c r="BT2" i="1"/>
  <c r="BY3" i="1"/>
  <c r="H111" i="36"/>
  <c r="P110" i="36"/>
  <c r="G110" i="36"/>
  <c r="I110" i="36" s="1"/>
  <c r="G111" i="36"/>
  <c r="P112" i="36"/>
  <c r="H112" i="36"/>
  <c r="D52" i="36"/>
  <c r="B19" i="62"/>
  <c r="CF4" i="1" s="1"/>
  <c r="L7" i="36"/>
  <c r="H6" i="36"/>
  <c r="AX5" i="1"/>
  <c r="I85" i="36"/>
  <c r="B20" i="54"/>
  <c r="F19" i="54" s="1"/>
  <c r="F20" i="54" s="1"/>
  <c r="M3" i="36"/>
  <c r="L4" i="36"/>
  <c r="B21" i="38"/>
  <c r="F19" i="38" s="1"/>
  <c r="G34" i="41"/>
  <c r="M86" i="2"/>
  <c r="BC3" i="1"/>
  <c r="B21" i="30"/>
  <c r="F19" i="30" s="1"/>
  <c r="G38" i="36"/>
  <c r="F21" i="41"/>
  <c r="G20" i="41"/>
  <c r="B21" i="82"/>
  <c r="L70" i="36"/>
  <c r="B21" i="69"/>
  <c r="F20" i="69" s="1"/>
  <c r="G113" i="36"/>
  <c r="P113" i="36"/>
  <c r="B18" i="126"/>
  <c r="B18" i="125"/>
  <c r="G114" i="36"/>
  <c r="I114" i="36" s="1"/>
  <c r="I43" i="36"/>
  <c r="G4" i="36"/>
  <c r="P114" i="36"/>
  <c r="G115" i="36"/>
  <c r="I115" i="36" s="1"/>
  <c r="L115" i="36"/>
  <c r="N115" i="36" s="1"/>
  <c r="B18" i="128"/>
  <c r="L116" i="36"/>
  <c r="N116" i="36" s="1"/>
  <c r="P116" i="36"/>
  <c r="CE4" i="1"/>
  <c r="G19" i="41"/>
  <c r="L112" i="36"/>
  <c r="N112" i="36" s="1"/>
  <c r="P117" i="36"/>
  <c r="L117" i="36"/>
  <c r="N117" i="36" s="1"/>
  <c r="H91" i="2"/>
  <c r="H96" i="2" s="1"/>
  <c r="L109" i="36"/>
  <c r="B18" i="130"/>
  <c r="I116" i="36"/>
  <c r="G117" i="36"/>
  <c r="B18" i="129"/>
  <c r="AW4" i="1"/>
  <c r="AZ4" i="1"/>
  <c r="G104" i="36"/>
  <c r="I104" i="36" s="1"/>
  <c r="H109" i="36"/>
  <c r="L110" i="36"/>
  <c r="N110" i="36" s="1"/>
  <c r="P118" i="36"/>
  <c r="H118" i="36"/>
  <c r="I118" i="36" s="1"/>
  <c r="L119" i="36"/>
  <c r="N119" i="36" s="1"/>
  <c r="F17" i="43"/>
  <c r="F17" i="38"/>
  <c r="K9" i="8"/>
  <c r="K10" i="8"/>
  <c r="ED4" i="1"/>
  <c r="B21" i="31"/>
  <c r="F20" i="31" s="1"/>
  <c r="F18" i="31"/>
  <c r="F21" i="31" s="1"/>
  <c r="K6" i="11"/>
  <c r="K10" i="11" s="1"/>
  <c r="CD3" i="1"/>
  <c r="B21" i="60"/>
  <c r="B18" i="59"/>
  <c r="B20" i="59" s="1"/>
  <c r="B49" i="36"/>
  <c r="G49" i="36" s="1"/>
  <c r="I49" i="36" s="1"/>
  <c r="DH4" i="1"/>
  <c r="B18" i="91"/>
  <c r="G81" i="36"/>
  <c r="BP3" i="1"/>
  <c r="B21" i="45"/>
  <c r="BW3" i="1"/>
  <c r="B20" i="53"/>
  <c r="F17" i="53" s="1"/>
  <c r="B21" i="68"/>
  <c r="B19" i="73"/>
  <c r="B21" i="73" s="1"/>
  <c r="CP4" i="1"/>
  <c r="B62" i="36"/>
  <c r="G62" i="36" s="1"/>
  <c r="H67" i="36"/>
  <c r="B21" i="63"/>
  <c r="P28" i="36"/>
  <c r="B18" i="112"/>
  <c r="B18" i="103"/>
  <c r="H7" i="36"/>
  <c r="CI4" i="1"/>
  <c r="B21" i="66"/>
  <c r="M95" i="36"/>
  <c r="L96" i="36"/>
  <c r="L108" i="36"/>
  <c r="H107" i="36"/>
  <c r="I107" i="36" s="1"/>
  <c r="L103" i="2"/>
  <c r="M87" i="2"/>
  <c r="CR2" i="1"/>
  <c r="B21" i="75"/>
  <c r="F17" i="75"/>
  <c r="F19" i="75"/>
  <c r="CS3" i="1"/>
  <c r="CS6" i="1" s="1"/>
  <c r="CS12" i="1" s="1"/>
  <c r="B21" i="76"/>
  <c r="F17" i="76" s="1"/>
  <c r="CT3" i="1"/>
  <c r="B21" i="77"/>
  <c r="H47" i="36"/>
  <c r="I47" i="36" s="1"/>
  <c r="DS3" i="1"/>
  <c r="B18" i="102"/>
  <c r="B18" i="117"/>
  <c r="B20" i="55"/>
  <c r="BB4" i="1"/>
  <c r="I6" i="23"/>
  <c r="I16" i="23" s="1"/>
  <c r="B102" i="36"/>
  <c r="G11" i="36"/>
  <c r="I11" i="36" s="1"/>
  <c r="BV2" i="1"/>
  <c r="B20" i="52"/>
  <c r="F18" i="52" s="1"/>
  <c r="DD3" i="1"/>
  <c r="B18" i="87"/>
  <c r="DJ5" i="1"/>
  <c r="M63" i="36"/>
  <c r="I73" i="36"/>
  <c r="L11" i="36"/>
  <c r="B21" i="51"/>
  <c r="F18" i="51" s="1"/>
  <c r="I29" i="36"/>
  <c r="CP3" i="1"/>
  <c r="B18" i="132"/>
  <c r="EV2" i="1"/>
  <c r="Q3" i="41"/>
  <c r="Q9" i="41" s="1"/>
  <c r="B18" i="85"/>
  <c r="I19" i="36"/>
  <c r="B21" i="49"/>
  <c r="F18" i="49" s="1"/>
  <c r="H54" i="36"/>
  <c r="B21" i="71"/>
  <c r="F20" i="71"/>
  <c r="CN3" i="1"/>
  <c r="L120" i="36"/>
  <c r="N120" i="36" s="1"/>
  <c r="H119" i="36"/>
  <c r="P120" i="36"/>
  <c r="EU4" i="1"/>
  <c r="B18" i="131"/>
  <c r="G119" i="36"/>
  <c r="P119" i="36"/>
  <c r="B18" i="133"/>
  <c r="F18" i="60"/>
  <c r="F17" i="60"/>
  <c r="F18" i="75"/>
  <c r="F20" i="75"/>
  <c r="L55" i="36"/>
  <c r="AX2" i="1"/>
  <c r="B21" i="25"/>
  <c r="F19" i="25" s="1"/>
  <c r="M5" i="41"/>
  <c r="M10" i="41" s="1"/>
  <c r="F18" i="66"/>
  <c r="M54" i="36"/>
  <c r="EF4" i="1"/>
  <c r="F16" i="57"/>
  <c r="F19" i="57"/>
  <c r="F18" i="57"/>
  <c r="F18" i="76"/>
  <c r="F18" i="61"/>
  <c r="F17" i="54"/>
  <c r="B21" i="34"/>
  <c r="F17" i="34"/>
  <c r="B21" i="64"/>
  <c r="B21" i="35"/>
  <c r="M57" i="36"/>
  <c r="H77" i="36"/>
  <c r="P121" i="36"/>
  <c r="G121" i="36"/>
  <c r="G14" i="36"/>
  <c r="I14" i="36" s="1"/>
  <c r="F17" i="57"/>
  <c r="B21" i="72"/>
  <c r="F17" i="72" s="1"/>
  <c r="CO2" i="1"/>
  <c r="L64" i="36"/>
  <c r="H88" i="36"/>
  <c r="L89" i="36"/>
  <c r="DU3" i="1"/>
  <c r="B18" i="104"/>
  <c r="H436" i="65"/>
  <c r="M53" i="36"/>
  <c r="N53" i="36" s="1"/>
  <c r="G18" i="41"/>
  <c r="F17" i="61"/>
  <c r="P76" i="36"/>
  <c r="B18" i="113"/>
  <c r="ED3" i="1"/>
  <c r="H117" i="36"/>
  <c r="I117" i="36" s="1"/>
  <c r="L118" i="36"/>
  <c r="I120" i="36"/>
  <c r="L121" i="36"/>
  <c r="N121" i="36" s="1"/>
  <c r="F19" i="72"/>
  <c r="F18" i="71"/>
  <c r="M110" i="2"/>
  <c r="K96" i="2"/>
  <c r="J107" i="2"/>
  <c r="C96" i="2"/>
  <c r="J112" i="2" s="1"/>
  <c r="F17" i="25"/>
  <c r="F19" i="71"/>
  <c r="F18" i="68"/>
  <c r="L110" i="2"/>
  <c r="L94" i="2"/>
  <c r="F20" i="35"/>
  <c r="F18" i="43"/>
  <c r="B22" i="76"/>
  <c r="F17" i="71"/>
  <c r="F21" i="71" s="1"/>
  <c r="B18" i="114"/>
  <c r="J91" i="2"/>
  <c r="M102" i="2"/>
  <c r="L86" i="2"/>
  <c r="L102" i="2"/>
  <c r="L85" i="36"/>
  <c r="B21" i="70"/>
  <c r="F18" i="70" s="1"/>
  <c r="CJ4" i="1"/>
  <c r="B18" i="95"/>
  <c r="N5" i="41"/>
  <c r="N9" i="41" s="1"/>
  <c r="P29" i="36"/>
  <c r="P30" i="36"/>
  <c r="H53" i="36"/>
  <c r="AM5" i="1"/>
  <c r="BB5" i="1"/>
  <c r="B18" i="94"/>
  <c r="I63" i="36"/>
  <c r="B18" i="135"/>
  <c r="B18" i="127"/>
  <c r="EQ2" i="1"/>
  <c r="G122" i="36"/>
  <c r="I122" i="36" s="1"/>
  <c r="J96" i="2"/>
  <c r="F18" i="72"/>
  <c r="F20" i="45"/>
  <c r="F19" i="45"/>
  <c r="F18" i="45"/>
  <c r="F19" i="77"/>
  <c r="F20" i="77"/>
  <c r="F20" i="64"/>
  <c r="K9" i="11"/>
  <c r="F17" i="30"/>
  <c r="F20" i="30"/>
  <c r="S5" i="41"/>
  <c r="S10" i="41"/>
  <c r="F18" i="25"/>
  <c r="F19" i="69"/>
  <c r="F17" i="69"/>
  <c r="F18" i="64"/>
  <c r="F18" i="53"/>
  <c r="F16" i="53"/>
  <c r="M51" i="36"/>
  <c r="F19" i="34"/>
  <c r="F17" i="58"/>
  <c r="F16" i="58"/>
  <c r="F19" i="63"/>
  <c r="F17" i="31"/>
  <c r="F19" i="31"/>
  <c r="L87" i="2"/>
  <c r="E91" i="2"/>
  <c r="L91" i="2" s="1"/>
  <c r="H35" i="36"/>
  <c r="L36" i="36"/>
  <c r="F17" i="47"/>
  <c r="F21" i="47" s="1"/>
  <c r="H36" i="36"/>
  <c r="F19" i="55"/>
  <c r="H70" i="36"/>
  <c r="F18" i="47"/>
  <c r="F18" i="48"/>
  <c r="F19" i="48"/>
  <c r="H23" i="36"/>
  <c r="M20" i="36"/>
  <c r="F20" i="63"/>
  <c r="B21" i="78"/>
  <c r="AO5" i="1"/>
  <c r="J7" i="15"/>
  <c r="J11" i="15" s="1"/>
  <c r="AT3" i="1"/>
  <c r="J6" i="20"/>
  <c r="J15" i="20" s="1"/>
  <c r="J18" i="20" s="1"/>
  <c r="AY4" i="1"/>
  <c r="J12" i="14"/>
  <c r="M39" i="36"/>
  <c r="B21" i="37"/>
  <c r="F18" i="37" s="1"/>
  <c r="K9" i="9"/>
  <c r="H65" i="36"/>
  <c r="I65" i="36" s="1"/>
  <c r="B18" i="136"/>
  <c r="M107" i="2"/>
  <c r="J16" i="20"/>
  <c r="J17" i="20"/>
  <c r="J9" i="15"/>
  <c r="F20" i="34"/>
  <c r="F17" i="77"/>
  <c r="F21" i="77" s="1"/>
  <c r="F18" i="77"/>
  <c r="F17" i="68"/>
  <c r="F20" i="68"/>
  <c r="F16" i="54"/>
  <c r="I6" i="24"/>
  <c r="AW5" i="1"/>
  <c r="G16" i="36"/>
  <c r="G20" i="36"/>
  <c r="F17" i="37"/>
  <c r="F17" i="51"/>
  <c r="F19" i="51"/>
  <c r="F18" i="38"/>
  <c r="F21" i="38" s="1"/>
  <c r="F19" i="37"/>
  <c r="M91" i="2"/>
  <c r="F18" i="34"/>
  <c r="F21" i="34" s="1"/>
  <c r="F17" i="64"/>
  <c r="F21" i="64" s="1"/>
  <c r="F19" i="64"/>
  <c r="F20" i="66"/>
  <c r="F18" i="69"/>
  <c r="F18" i="40"/>
  <c r="AS3" i="1"/>
  <c r="J6" i="19"/>
  <c r="AU2" i="1"/>
  <c r="I6" i="21"/>
  <c r="I15" i="21" s="1"/>
  <c r="BB3" i="1"/>
  <c r="B21" i="29"/>
  <c r="F19" i="29" s="1"/>
  <c r="F20" i="49"/>
  <c r="F20" i="61"/>
  <c r="F19" i="61"/>
  <c r="F21" i="61" s="1"/>
  <c r="L88" i="2"/>
  <c r="L104" i="2"/>
  <c r="M104" i="2"/>
  <c r="L107" i="2"/>
  <c r="E96" i="2"/>
  <c r="L96" i="2" s="1"/>
  <c r="S9" i="41"/>
  <c r="F20" i="70"/>
  <c r="F19" i="70"/>
  <c r="F20" i="51"/>
  <c r="F19" i="53"/>
  <c r="F20" i="53" s="1"/>
  <c r="S8" i="41"/>
  <c r="F17" i="63"/>
  <c r="F21" i="63" s="1"/>
  <c r="F18" i="63"/>
  <c r="F19" i="68"/>
  <c r="F21" i="68" s="1"/>
  <c r="F18" i="54"/>
  <c r="F20" i="40"/>
  <c r="F18" i="58"/>
  <c r="F19" i="58"/>
  <c r="H30" i="36"/>
  <c r="I30" i="36" s="1"/>
  <c r="L31" i="36"/>
  <c r="P31" i="36"/>
  <c r="P5" i="41"/>
  <c r="P9" i="41" s="1"/>
  <c r="BT5" i="1"/>
  <c r="B21" i="50"/>
  <c r="F18" i="50" s="1"/>
  <c r="F19" i="40"/>
  <c r="F21" i="40" s="1"/>
  <c r="L69" i="36"/>
  <c r="N69" i="36" s="1"/>
  <c r="L243" i="2"/>
  <c r="L226" i="2"/>
  <c r="AM2" i="1"/>
  <c r="B19" i="33"/>
  <c r="BK3" i="1"/>
  <c r="B21" i="39"/>
  <c r="F20" i="39" s="1"/>
  <c r="J6" i="18"/>
  <c r="J10" i="18" s="1"/>
  <c r="B21" i="26"/>
  <c r="F18" i="26" s="1"/>
  <c r="L19" i="36"/>
  <c r="G4" i="41"/>
  <c r="B21" i="67"/>
  <c r="CJ2" i="1"/>
  <c r="F17" i="67"/>
  <c r="L122" i="36"/>
  <c r="N122" i="36"/>
  <c r="H121" i="36"/>
  <c r="I121" i="36"/>
  <c r="L124" i="36"/>
  <c r="N124" i="36" s="1"/>
  <c r="H123" i="36"/>
  <c r="I123" i="36" s="1"/>
  <c r="F20" i="29"/>
  <c r="F17" i="29"/>
  <c r="F21" i="29" s="1"/>
  <c r="F18" i="29"/>
  <c r="M96" i="2"/>
  <c r="L112" i="2"/>
  <c r="M112" i="2"/>
  <c r="F17" i="26"/>
  <c r="I14" i="24"/>
  <c r="I17" i="24" s="1"/>
  <c r="I15" i="24"/>
  <c r="I16" i="24"/>
  <c r="F17" i="39"/>
  <c r="P10" i="41"/>
  <c r="BF4" i="1"/>
  <c r="B21" i="33"/>
  <c r="F20" i="33" s="1"/>
  <c r="I16" i="21"/>
  <c r="F21" i="51"/>
  <c r="F18" i="67"/>
  <c r="F19" i="67"/>
  <c r="F20" i="67"/>
  <c r="F21" i="67" s="1"/>
  <c r="J16" i="19"/>
  <c r="J18" i="19" s="1"/>
  <c r="J17" i="19"/>
  <c r="J12" i="18"/>
  <c r="J11" i="18"/>
  <c r="F17" i="50"/>
  <c r="F20" i="50"/>
  <c r="AA4" i="166" l="1"/>
  <c r="H717" i="65"/>
  <c r="I585" i="65"/>
  <c r="H585" i="65"/>
  <c r="H485" i="65"/>
  <c r="H75" i="65"/>
  <c r="I256" i="65"/>
  <c r="I687" i="65"/>
  <c r="H53" i="65"/>
  <c r="H155" i="65"/>
  <c r="H188" i="65"/>
  <c r="H539" i="65"/>
  <c r="H711" i="65"/>
  <c r="I155" i="65"/>
  <c r="AQ4" i="166"/>
  <c r="I52" i="65"/>
  <c r="CO6" i="1"/>
  <c r="AX6" i="1"/>
  <c r="CF6" i="1"/>
  <c r="P23" i="36"/>
  <c r="P68" i="36"/>
  <c r="L60" i="36"/>
  <c r="N60" i="36" s="1"/>
  <c r="P115" i="36"/>
  <c r="I38" i="36"/>
  <c r="L32" i="36"/>
  <c r="H82" i="36"/>
  <c r="I26" i="36"/>
  <c r="P12" i="36"/>
  <c r="P8" i="36"/>
  <c r="N66" i="36"/>
  <c r="L72" i="36"/>
  <c r="N72" i="36" s="1"/>
  <c r="L71" i="36"/>
  <c r="N71" i="36" s="1"/>
  <c r="M25" i="36"/>
  <c r="M109" i="36"/>
  <c r="L94" i="36"/>
  <c r="N20" i="36"/>
  <c r="L67" i="36"/>
  <c r="N67" i="36" s="1"/>
  <c r="L83" i="36"/>
  <c r="N83" i="36" s="1"/>
  <c r="P4" i="36"/>
  <c r="L38" i="36"/>
  <c r="N38" i="36" s="1"/>
  <c r="L61" i="36"/>
  <c r="H105" i="36"/>
  <c r="I105" i="36" s="1"/>
  <c r="N47" i="36"/>
  <c r="P55" i="36"/>
  <c r="P123" i="36"/>
  <c r="M36" i="36"/>
  <c r="L10" i="36"/>
  <c r="I109" i="36"/>
  <c r="L3" i="36"/>
  <c r="L45" i="36"/>
  <c r="I32" i="36"/>
  <c r="N36" i="36"/>
  <c r="G97" i="36"/>
  <c r="I97" i="36" s="1"/>
  <c r="P52" i="36"/>
  <c r="N111" i="36"/>
  <c r="N84" i="36"/>
  <c r="M14" i="36"/>
  <c r="N14" i="36" s="1"/>
  <c r="M73" i="36"/>
  <c r="L2" i="36"/>
  <c r="P36" i="36"/>
  <c r="I64" i="36"/>
  <c r="P108" i="36"/>
  <c r="P124" i="36"/>
  <c r="P122" i="36"/>
  <c r="L107" i="36"/>
  <c r="H75" i="36"/>
  <c r="I75" i="36" s="1"/>
  <c r="I9" i="36"/>
  <c r="I24" i="36"/>
  <c r="P13" i="36"/>
  <c r="I77" i="36"/>
  <c r="I125" i="36"/>
  <c r="GV10" i="1"/>
  <c r="GW1" i="1"/>
  <c r="N37" i="36"/>
  <c r="N3" i="36"/>
  <c r="I17" i="36"/>
  <c r="P56" i="36"/>
  <c r="P106" i="36"/>
  <c r="P74" i="36"/>
  <c r="H42" i="36"/>
  <c r="I42" i="36" s="1"/>
  <c r="P107" i="36"/>
  <c r="L73" i="36"/>
  <c r="N73" i="36" s="1"/>
  <c r="M55" i="36"/>
  <c r="N55" i="36" s="1"/>
  <c r="N44" i="36"/>
  <c r="N74" i="36"/>
  <c r="P79" i="36"/>
  <c r="Q157" i="36" s="1"/>
  <c r="L99" i="36"/>
  <c r="I56" i="36"/>
  <c r="N118" i="36"/>
  <c r="G36" i="36"/>
  <c r="I36" i="36" s="1"/>
  <c r="L18" i="36"/>
  <c r="N18" i="36" s="1"/>
  <c r="P41" i="36"/>
  <c r="P77" i="36"/>
  <c r="Q155" i="36" s="1"/>
  <c r="L22" i="36"/>
  <c r="N22" i="36" s="1"/>
  <c r="H2" i="36"/>
  <c r="I45" i="36"/>
  <c r="P64" i="36"/>
  <c r="P66" i="36"/>
  <c r="I78" i="36"/>
  <c r="I92" i="36"/>
  <c r="I94" i="36"/>
  <c r="I95" i="36"/>
  <c r="I124" i="36"/>
  <c r="N48" i="36"/>
  <c r="P19" i="36"/>
  <c r="L12" i="36"/>
  <c r="N12" i="36" s="1"/>
  <c r="I34" i="36"/>
  <c r="I82" i="36"/>
  <c r="L93" i="36"/>
  <c r="N93" i="36" s="1"/>
  <c r="H44" i="36"/>
  <c r="I44" i="36" s="1"/>
  <c r="P62" i="36"/>
  <c r="P67" i="36"/>
  <c r="P78" i="36"/>
  <c r="L41" i="36"/>
  <c r="P98" i="36"/>
  <c r="M71" i="36"/>
  <c r="I16" i="36"/>
  <c r="P53" i="36"/>
  <c r="G25" i="36"/>
  <c r="I25" i="36" s="1"/>
  <c r="L17" i="36"/>
  <c r="N17" i="36" s="1"/>
  <c r="N7" i="36"/>
  <c r="H46" i="36"/>
  <c r="L97" i="36"/>
  <c r="N97" i="36" s="1"/>
  <c r="L57" i="36"/>
  <c r="N57" i="36" s="1"/>
  <c r="G37" i="36"/>
  <c r="L49" i="36"/>
  <c r="N49" i="36" s="1"/>
  <c r="I57" i="36"/>
  <c r="L86" i="36"/>
  <c r="N86" i="36" s="1"/>
  <c r="I90" i="36"/>
  <c r="I87" i="36"/>
  <c r="I35" i="36"/>
  <c r="N64" i="36"/>
  <c r="N99" i="36"/>
  <c r="I2" i="36"/>
  <c r="P94" i="36"/>
  <c r="P24" i="36"/>
  <c r="L52" i="36"/>
  <c r="N52" i="36" s="1"/>
  <c r="P27" i="36"/>
  <c r="I113" i="36"/>
  <c r="I112" i="36"/>
  <c r="L59" i="36"/>
  <c r="N59" i="36" s="1"/>
  <c r="P48" i="36"/>
  <c r="I55" i="36"/>
  <c r="I61" i="36"/>
  <c r="P71" i="36"/>
  <c r="L100" i="36"/>
  <c r="N100" i="36" s="1"/>
  <c r="L102" i="36"/>
  <c r="N102" i="36" s="1"/>
  <c r="P104" i="36"/>
  <c r="I23" i="36"/>
  <c r="L78" i="36"/>
  <c r="I4" i="36"/>
  <c r="H102" i="36"/>
  <c r="P109" i="36"/>
  <c r="P99" i="36"/>
  <c r="L62" i="36"/>
  <c r="N62" i="36" s="1"/>
  <c r="I66" i="36"/>
  <c r="M43" i="36"/>
  <c r="N43" i="36" s="1"/>
  <c r="P46" i="36"/>
  <c r="P70" i="36"/>
  <c r="M78" i="36"/>
  <c r="N78" i="36" s="1"/>
  <c r="H48" i="65"/>
  <c r="H198" i="65"/>
  <c r="H213" i="65"/>
  <c r="H378" i="65"/>
  <c r="H68" i="65"/>
  <c r="H77" i="65"/>
  <c r="I178" i="65"/>
  <c r="H168" i="65"/>
  <c r="H466" i="65"/>
  <c r="H700" i="65"/>
  <c r="H18" i="65"/>
  <c r="I43" i="65"/>
  <c r="H138" i="65"/>
  <c r="H158" i="65"/>
  <c r="H193" i="65"/>
  <c r="H216" i="65"/>
  <c r="H639" i="65"/>
  <c r="H28" i="65"/>
  <c r="H173" i="65"/>
  <c r="H314" i="65"/>
  <c r="H557" i="65"/>
  <c r="H575" i="65"/>
  <c r="H73" i="65"/>
  <c r="H218" i="65"/>
  <c r="H395" i="65"/>
  <c r="H579" i="65"/>
  <c r="H588" i="65"/>
  <c r="H23" i="65"/>
  <c r="H33" i="65"/>
  <c r="H113" i="65"/>
  <c r="H426" i="65"/>
  <c r="H93" i="65"/>
  <c r="H611" i="65"/>
  <c r="BZ6" i="1"/>
  <c r="EW6" i="1"/>
  <c r="EW12" i="1" s="1"/>
  <c r="BL6" i="1"/>
  <c r="EI6" i="1"/>
  <c r="DV6" i="1"/>
  <c r="BQ6" i="1"/>
  <c r="CN6" i="1"/>
  <c r="CN12" i="1" s="1"/>
  <c r="CA6" i="1"/>
  <c r="DH6" i="1"/>
  <c r="DH12" i="1" s="1"/>
  <c r="I93" i="36"/>
  <c r="N108" i="36"/>
  <c r="G108" i="36"/>
  <c r="I108" i="36" s="1"/>
  <c r="L82" i="36"/>
  <c r="N82" i="36" s="1"/>
  <c r="L35" i="36"/>
  <c r="N35" i="36" s="1"/>
  <c r="P59" i="36"/>
  <c r="N19" i="36"/>
  <c r="P3" i="36"/>
  <c r="N31" i="36"/>
  <c r="L6" i="36"/>
  <c r="N6" i="36" s="1"/>
  <c r="M11" i="36"/>
  <c r="N11" i="36" s="1"/>
  <c r="L105" i="36"/>
  <c r="N105" i="36" s="1"/>
  <c r="P38" i="36"/>
  <c r="G48" i="36"/>
  <c r="I48" i="36" s="1"/>
  <c r="I54" i="36"/>
  <c r="P11" i="36"/>
  <c r="N96" i="36"/>
  <c r="H12" i="36"/>
  <c r="I12" i="36" s="1"/>
  <c r="N4" i="36"/>
  <c r="P7" i="36"/>
  <c r="P44" i="36"/>
  <c r="P6" i="36"/>
  <c r="P73" i="36"/>
  <c r="P45" i="36"/>
  <c r="G46" i="36"/>
  <c r="L95" i="36"/>
  <c r="N95" i="36" s="1"/>
  <c r="H37" i="36"/>
  <c r="P54" i="36"/>
  <c r="N87" i="36"/>
  <c r="N32" i="36"/>
  <c r="P49" i="36"/>
  <c r="P32" i="36"/>
  <c r="P50" i="36"/>
  <c r="P5" i="36"/>
  <c r="P105" i="36"/>
  <c r="P26" i="36"/>
  <c r="I40" i="36"/>
  <c r="I74" i="36"/>
  <c r="P65" i="36"/>
  <c r="P63" i="36"/>
  <c r="P58" i="36"/>
  <c r="P61" i="36"/>
  <c r="N10" i="36"/>
  <c r="P96" i="36"/>
  <c r="L13" i="36"/>
  <c r="N13" i="36" s="1"/>
  <c r="P35" i="36"/>
  <c r="P95" i="36"/>
  <c r="N70" i="36"/>
  <c r="P39" i="36"/>
  <c r="I111" i="36"/>
  <c r="P40" i="36"/>
  <c r="P101" i="36"/>
  <c r="L63" i="36"/>
  <c r="N63" i="36" s="1"/>
  <c r="L65" i="36"/>
  <c r="N65" i="36" s="1"/>
  <c r="I6" i="36"/>
  <c r="I21" i="36"/>
  <c r="I27" i="36"/>
  <c r="I59" i="36"/>
  <c r="P91" i="36"/>
  <c r="P47" i="36"/>
  <c r="L40" i="36"/>
  <c r="N40" i="36" s="1"/>
  <c r="M104" i="36"/>
  <c r="N104" i="36" s="1"/>
  <c r="P86" i="36"/>
  <c r="N41" i="36"/>
  <c r="N89" i="36"/>
  <c r="P14" i="36"/>
  <c r="P34" i="36"/>
  <c r="P57" i="36"/>
  <c r="L75" i="36"/>
  <c r="N75" i="36" s="1"/>
  <c r="P9" i="36"/>
  <c r="L9" i="36"/>
  <c r="N9" i="36" s="1"/>
  <c r="N26" i="36"/>
  <c r="I39" i="36"/>
  <c r="I52" i="36"/>
  <c r="P100" i="36"/>
  <c r="N15" i="36"/>
  <c r="N107" i="36"/>
  <c r="H101" i="36"/>
  <c r="I101" i="36" s="1"/>
  <c r="N98" i="36"/>
  <c r="L101" i="36"/>
  <c r="N101" i="36" s="1"/>
  <c r="P87" i="36"/>
  <c r="P89" i="36"/>
  <c r="L79" i="36"/>
  <c r="N79" i="36" s="1"/>
  <c r="N85" i="36"/>
  <c r="P90" i="36"/>
  <c r="L58" i="36"/>
  <c r="N58" i="36" s="1"/>
  <c r="P60" i="36"/>
  <c r="P69" i="36"/>
  <c r="I81" i="36"/>
  <c r="L16" i="36"/>
  <c r="N16" i="36" s="1"/>
  <c r="G103" i="36"/>
  <c r="I103" i="36" s="1"/>
  <c r="L91" i="36"/>
  <c r="N91" i="36" s="1"/>
  <c r="L25" i="36"/>
  <c r="N25" i="36" s="1"/>
  <c r="I83" i="36"/>
  <c r="L50" i="36"/>
  <c r="N50" i="36" s="1"/>
  <c r="L113" i="36"/>
  <c r="N113" i="36" s="1"/>
  <c r="N61" i="36"/>
  <c r="I41" i="36"/>
  <c r="P20" i="36"/>
  <c r="L56" i="36"/>
  <c r="N56" i="36" s="1"/>
  <c r="P17" i="36"/>
  <c r="L21" i="36"/>
  <c r="N21" i="36" s="1"/>
  <c r="P72" i="36"/>
  <c r="I88" i="36"/>
  <c r="P18" i="36"/>
  <c r="I67" i="36"/>
  <c r="H99" i="36"/>
  <c r="I99" i="36" s="1"/>
  <c r="P33" i="36"/>
  <c r="P16" i="36"/>
  <c r="L88" i="36"/>
  <c r="N88" i="36" s="1"/>
  <c r="I100" i="36"/>
  <c r="L114" i="36"/>
  <c r="N114" i="36" s="1"/>
  <c r="P75" i="36"/>
  <c r="L24" i="36"/>
  <c r="N24" i="36" s="1"/>
  <c r="P81" i="36"/>
  <c r="P10" i="36"/>
  <c r="I62" i="36"/>
  <c r="L5" i="36"/>
  <c r="N5" i="36" s="1"/>
  <c r="I28" i="36"/>
  <c r="I84" i="36"/>
  <c r="G3" i="36"/>
  <c r="I3" i="36" s="1"/>
  <c r="P88" i="36"/>
  <c r="Q163" i="36" s="1"/>
  <c r="L33" i="36"/>
  <c r="N33" i="36" s="1"/>
  <c r="H374" i="65"/>
  <c r="I137" i="65"/>
  <c r="H242" i="65"/>
  <c r="I600" i="65"/>
  <c r="H206" i="65"/>
  <c r="I14" i="65"/>
  <c r="H568" i="65"/>
  <c r="I495" i="65"/>
  <c r="I596" i="65"/>
  <c r="I706" i="65"/>
  <c r="H357" i="65"/>
  <c r="H212" i="65"/>
  <c r="H495" i="65"/>
  <c r="I691" i="65"/>
  <c r="H96" i="65"/>
  <c r="I226" i="65"/>
  <c r="H287" i="65"/>
  <c r="H656" i="65"/>
  <c r="H697" i="65"/>
  <c r="I22" i="65"/>
  <c r="I655" i="65"/>
  <c r="H259" i="65"/>
  <c r="H666" i="65"/>
  <c r="H669" i="65"/>
  <c r="I317" i="65"/>
  <c r="H571" i="65"/>
  <c r="I76" i="65"/>
  <c r="F19" i="32"/>
  <c r="F20" i="32"/>
  <c r="F18" i="32"/>
  <c r="F17" i="32"/>
  <c r="F21" i="32" s="1"/>
  <c r="R5" i="41"/>
  <c r="Q10" i="41"/>
  <c r="Q8" i="41"/>
  <c r="O8" i="41"/>
  <c r="O9" i="41"/>
  <c r="F18" i="59"/>
  <c r="F19" i="59"/>
  <c r="F16" i="59"/>
  <c r="F17" i="59"/>
  <c r="F17" i="73"/>
  <c r="F19" i="73"/>
  <c r="F18" i="73"/>
  <c r="F21" i="73" s="1"/>
  <c r="F20" i="73"/>
  <c r="F20" i="26"/>
  <c r="N27" i="36"/>
  <c r="K10" i="10"/>
  <c r="K8" i="10"/>
  <c r="K9" i="10"/>
  <c r="N10" i="41"/>
  <c r="F18" i="44"/>
  <c r="N8" i="41"/>
  <c r="F17" i="44"/>
  <c r="F21" i="44" s="1"/>
  <c r="CC4" i="1"/>
  <c r="CC6" i="1" s="1"/>
  <c r="F18" i="56"/>
  <c r="P51" i="36"/>
  <c r="N8" i="36"/>
  <c r="B18" i="116"/>
  <c r="F36" i="41"/>
  <c r="CV6" i="1"/>
  <c r="CV12" i="1" s="1"/>
  <c r="I247" i="65"/>
  <c r="F19" i="33"/>
  <c r="F19" i="39"/>
  <c r="F20" i="74"/>
  <c r="P8" i="41"/>
  <c r="F16" i="56"/>
  <c r="F19" i="44"/>
  <c r="P21" i="36"/>
  <c r="F21" i="48"/>
  <c r="F17" i="52"/>
  <c r="F20" i="72"/>
  <c r="P42" i="36"/>
  <c r="L51" i="36"/>
  <c r="N51" i="36" s="1"/>
  <c r="I119" i="36"/>
  <c r="N109" i="36"/>
  <c r="P22" i="36"/>
  <c r="I10" i="36"/>
  <c r="M76" i="36"/>
  <c r="N76" i="36" s="1"/>
  <c r="L77" i="36"/>
  <c r="N77" i="36" s="1"/>
  <c r="F21" i="69"/>
  <c r="F19" i="52"/>
  <c r="N90" i="36"/>
  <c r="F18" i="33"/>
  <c r="F17" i="74"/>
  <c r="F17" i="33"/>
  <c r="F18" i="39"/>
  <c r="F21" i="39" s="1"/>
  <c r="F17" i="56"/>
  <c r="F21" i="37"/>
  <c r="F19" i="50"/>
  <c r="F21" i="50" s="1"/>
  <c r="I14" i="21"/>
  <c r="I17" i="21" s="1"/>
  <c r="K6" i="13"/>
  <c r="J10" i="15"/>
  <c r="J12" i="15" s="1"/>
  <c r="K8" i="11"/>
  <c r="F20" i="76"/>
  <c r="M8" i="41"/>
  <c r="F20" i="57"/>
  <c r="P80" i="36"/>
  <c r="F17" i="49"/>
  <c r="F21" i="49" s="1"/>
  <c r="F16" i="52"/>
  <c r="I15" i="23"/>
  <c r="I7" i="36"/>
  <c r="N2" i="36"/>
  <c r="B21" i="62"/>
  <c r="BE4" i="1"/>
  <c r="B21" i="79"/>
  <c r="I86" i="36"/>
  <c r="EX4" i="1"/>
  <c r="EX6" i="1" s="1"/>
  <c r="EX12" i="1" s="1"/>
  <c r="B18" i="134"/>
  <c r="M45" i="36"/>
  <c r="N45" i="36" s="1"/>
  <c r="L46" i="36"/>
  <c r="N46" i="36" s="1"/>
  <c r="DI2" i="1"/>
  <c r="DI6" i="1" s="1"/>
  <c r="DI12" i="1" s="1"/>
  <c r="B18" i="92"/>
  <c r="H91" i="36"/>
  <c r="I91" i="36" s="1"/>
  <c r="P93" i="36"/>
  <c r="F19" i="26"/>
  <c r="F20" i="58"/>
  <c r="B21" i="28"/>
  <c r="F19" i="49"/>
  <c r="I20" i="36"/>
  <c r="I70" i="36"/>
  <c r="L80" i="36"/>
  <c r="N80" i="36" s="1"/>
  <c r="M9" i="41"/>
  <c r="BV6" i="1"/>
  <c r="F19" i="76"/>
  <c r="F21" i="76" s="1"/>
  <c r="L42" i="36"/>
  <c r="N42" i="36" s="1"/>
  <c r="F17" i="45"/>
  <c r="F21" i="45" s="1"/>
  <c r="P82" i="36"/>
  <c r="G35" i="41"/>
  <c r="F21" i="72"/>
  <c r="L92" i="36"/>
  <c r="N92" i="36" s="1"/>
  <c r="P92" i="36"/>
  <c r="P43" i="36"/>
  <c r="F18" i="74"/>
  <c r="I14" i="23"/>
  <c r="I17" i="23" s="1"/>
  <c r="F17" i="70"/>
  <c r="F21" i="70" s="1"/>
  <c r="B18" i="93"/>
  <c r="B21" i="42"/>
  <c r="M226" i="2"/>
  <c r="BJ6" i="1"/>
  <c r="H207" i="65"/>
  <c r="K6" i="7"/>
  <c r="CH6" i="1"/>
  <c r="I69" i="36"/>
  <c r="N94" i="36"/>
  <c r="DX6" i="1"/>
  <c r="DX12" i="1" s="1"/>
  <c r="I96" i="36"/>
  <c r="EB6" i="1"/>
  <c r="EB12" i="1" s="1"/>
  <c r="L39" i="36"/>
  <c r="N39" i="36" s="1"/>
  <c r="I187" i="65"/>
  <c r="H95" i="65"/>
  <c r="I80" i="36"/>
  <c r="N23" i="36"/>
  <c r="N28" i="36"/>
  <c r="N38" i="39"/>
  <c r="I54" i="65"/>
  <c r="I98" i="36"/>
  <c r="I627" i="65"/>
  <c r="N30" i="36"/>
  <c r="H15" i="65"/>
  <c r="L81" i="36"/>
  <c r="N81" i="36" s="1"/>
  <c r="F20" i="25"/>
  <c r="F18" i="35"/>
  <c r="F17" i="35"/>
  <c r="F19" i="35"/>
  <c r="F16" i="55"/>
  <c r="F17" i="55"/>
  <c r="F18" i="55"/>
  <c r="F21" i="75"/>
  <c r="AM6" i="1"/>
  <c r="P103" i="36"/>
  <c r="P102" i="36"/>
  <c r="G102" i="36"/>
  <c r="I102" i="36" s="1"/>
  <c r="F19" i="66"/>
  <c r="F17" i="66"/>
  <c r="F21" i="66" s="1"/>
  <c r="F20" i="60"/>
  <c r="F19" i="60"/>
  <c r="K10" i="9"/>
  <c r="F18" i="30"/>
  <c r="F21" i="30" s="1"/>
  <c r="F20" i="43"/>
  <c r="F21" i="43" s="1"/>
  <c r="O10" i="41"/>
  <c r="BT6" i="1"/>
  <c r="I8" i="36"/>
  <c r="I15" i="36"/>
  <c r="I18" i="36"/>
  <c r="BN6" i="1"/>
  <c r="DD6" i="1"/>
  <c r="DD12" i="1" s="1"/>
  <c r="DJ6" i="1"/>
  <c r="DJ12" i="1" s="1"/>
  <c r="AL6" i="1"/>
  <c r="B21" i="27"/>
  <c r="BD6" i="1"/>
  <c r="I107" i="65"/>
  <c r="P83" i="36"/>
  <c r="AP6" i="1"/>
  <c r="H82" i="65"/>
  <c r="H94" i="65"/>
  <c r="H127" i="65"/>
  <c r="I184" i="65"/>
  <c r="I216" i="65"/>
  <c r="I507" i="65"/>
  <c r="EJ6" i="1"/>
  <c r="EJ12" i="1" s="1"/>
  <c r="EL6" i="1"/>
  <c r="EL12" i="1" s="1"/>
  <c r="L123" i="36"/>
  <c r="N123" i="36" s="1"/>
  <c r="L125" i="36"/>
  <c r="N125" i="36" s="1"/>
  <c r="P125" i="36"/>
  <c r="P126" i="36"/>
  <c r="ES6" i="1"/>
  <c r="ES12" i="1" s="1"/>
  <c r="I648" i="65"/>
  <c r="H690" i="65"/>
  <c r="H706" i="65"/>
  <c r="I699" i="65"/>
  <c r="FA6" i="1"/>
  <c r="FA12" i="1" s="1"/>
  <c r="AV6" i="1"/>
  <c r="BM6" i="1"/>
  <c r="DK6" i="1"/>
  <c r="DK12" i="1" s="1"/>
  <c r="BA6" i="1"/>
  <c r="AS6" i="1"/>
  <c r="CT6" i="1"/>
  <c r="BS6" i="1"/>
  <c r="DY6" i="1"/>
  <c r="DY12" i="1" s="1"/>
  <c r="DU6" i="1"/>
  <c r="DU12" i="1" s="1"/>
  <c r="CZ6" i="1"/>
  <c r="CZ12" i="1" s="1"/>
  <c r="AQ6" i="1"/>
  <c r="CR6" i="1"/>
  <c r="CR12" i="1" s="1"/>
  <c r="CX6" i="1"/>
  <c r="CX12" i="1" s="1"/>
  <c r="DL6" i="1"/>
  <c r="DL12" i="1" s="1"/>
  <c r="EH6" i="1"/>
  <c r="EH12" i="1" s="1"/>
  <c r="HY32" i="1"/>
  <c r="HZ32" i="1" s="1"/>
  <c r="FM12" i="1"/>
  <c r="AN6" i="1"/>
  <c r="BR6" i="1"/>
  <c r="CE6" i="1"/>
  <c r="CW6" i="1"/>
  <c r="CW12" i="1" s="1"/>
  <c r="DC6" i="1"/>
  <c r="DC12" i="1" s="1"/>
  <c r="ED6" i="1"/>
  <c r="ED12" i="1" s="1"/>
  <c r="EE6" i="1"/>
  <c r="EE12" i="1" s="1"/>
  <c r="EP6" i="1"/>
  <c r="EP12" i="1" s="1"/>
  <c r="AU6" i="1"/>
  <c r="CD6" i="1"/>
  <c r="AW6" i="1"/>
  <c r="HY22" i="1" s="1"/>
  <c r="BG6" i="1"/>
  <c r="CG6" i="1"/>
  <c r="HY25" i="1" s="1"/>
  <c r="HZ25" i="1" s="1"/>
  <c r="CQ6" i="1"/>
  <c r="CQ12" i="1" s="1"/>
  <c r="CY6" i="1"/>
  <c r="CY12" i="1" s="1"/>
  <c r="DS6" i="1"/>
  <c r="DS12" i="1" s="1"/>
  <c r="EF6" i="1"/>
  <c r="EF12" i="1" s="1"/>
  <c r="EN6" i="1"/>
  <c r="EN12" i="1" s="1"/>
  <c r="ER6" i="1"/>
  <c r="ER12" i="1" s="1"/>
  <c r="EZ6" i="1"/>
  <c r="EZ12" i="1" s="1"/>
  <c r="H516" i="65"/>
  <c r="I24" i="65"/>
  <c r="I77" i="65"/>
  <c r="I565" i="65"/>
  <c r="I516" i="65"/>
  <c r="H97" i="65"/>
  <c r="I348" i="65"/>
  <c r="I334" i="65"/>
  <c r="H62" i="65"/>
  <c r="I134" i="65"/>
  <c r="H152" i="65"/>
  <c r="H335" i="65"/>
  <c r="I435" i="65"/>
  <c r="H649" i="65"/>
  <c r="I675" i="65"/>
  <c r="I739" i="65"/>
  <c r="H183" i="65"/>
  <c r="H24" i="65"/>
  <c r="H305" i="65"/>
  <c r="I641" i="65"/>
  <c r="I605" i="65"/>
  <c r="H133" i="65"/>
  <c r="H38" i="65"/>
  <c r="H44" i="65"/>
  <c r="H67" i="65"/>
  <c r="I94" i="65"/>
  <c r="H104" i="65"/>
  <c r="I136" i="65"/>
  <c r="I153" i="65"/>
  <c r="I273" i="65"/>
  <c r="I376" i="65"/>
  <c r="I581" i="65"/>
  <c r="H707" i="65"/>
  <c r="I32" i="65"/>
  <c r="I212" i="65"/>
  <c r="I715" i="65"/>
  <c r="I645" i="65"/>
  <c r="I183" i="65"/>
  <c r="H107" i="65"/>
  <c r="H126" i="65"/>
  <c r="H142" i="65"/>
  <c r="I164" i="65"/>
  <c r="H202" i="65"/>
  <c r="I615" i="65"/>
  <c r="H635" i="65"/>
  <c r="I721" i="65"/>
  <c r="H687" i="65"/>
  <c r="I550" i="65"/>
  <c r="I681" i="65"/>
  <c r="H609" i="65"/>
  <c r="H565" i="65"/>
  <c r="H286" i="65"/>
  <c r="H425" i="65"/>
  <c r="I25" i="65"/>
  <c r="I222" i="65"/>
  <c r="I535" i="65"/>
  <c r="H626" i="65"/>
  <c r="H196" i="65"/>
  <c r="H52" i="65"/>
  <c r="I607" i="65"/>
  <c r="I711" i="65"/>
  <c r="I117" i="65"/>
  <c r="I204" i="65"/>
  <c r="I489" i="65"/>
  <c r="I468" i="65"/>
  <c r="I458" i="65"/>
  <c r="I697" i="65"/>
  <c r="I727" i="65"/>
  <c r="I38" i="65"/>
  <c r="I680" i="65"/>
  <c r="I557" i="65"/>
  <c r="I616" i="65"/>
  <c r="I44" i="65"/>
  <c r="I430" i="65"/>
  <c r="I127" i="65"/>
  <c r="H144" i="65"/>
  <c r="I571" i="65"/>
  <c r="H721" i="65"/>
  <c r="I188" i="65"/>
  <c r="I567" i="65"/>
  <c r="H676" i="65"/>
  <c r="H567" i="65"/>
  <c r="H14" i="65"/>
  <c r="H616" i="65"/>
  <c r="H601" i="65"/>
  <c r="H430" i="65"/>
  <c r="H468" i="65"/>
  <c r="H88" i="65"/>
  <c r="I338" i="65"/>
  <c r="H258" i="65"/>
  <c r="I45" i="65"/>
  <c r="I67" i="65"/>
  <c r="I103" i="65"/>
  <c r="I122" i="65"/>
  <c r="I166" i="65"/>
  <c r="I559" i="65"/>
  <c r="I629" i="65"/>
  <c r="I667" i="65"/>
  <c r="H680" i="65"/>
  <c r="H117" i="65"/>
  <c r="H16" i="65"/>
  <c r="I62" i="65"/>
  <c r="H43" i="65"/>
  <c r="H246" i="65"/>
  <c r="I710" i="65"/>
  <c r="H145" i="65"/>
  <c r="I144" i="65"/>
  <c r="I154" i="65"/>
  <c r="I618" i="65"/>
  <c r="H316" i="65"/>
  <c r="H720" i="65"/>
  <c r="I666" i="65"/>
  <c r="I23" i="65"/>
  <c r="H529" i="65"/>
  <c r="I606" i="65"/>
  <c r="I68" i="65"/>
  <c r="I34" i="65"/>
  <c r="I268" i="65"/>
  <c r="I619" i="65"/>
  <c r="H677" i="65"/>
  <c r="I28" i="65"/>
  <c r="H719" i="65"/>
  <c r="H306" i="65"/>
  <c r="I677" i="65"/>
  <c r="H691" i="65"/>
  <c r="H470" i="65"/>
  <c r="I327" i="65"/>
  <c r="I13" i="65"/>
  <c r="I485" i="65"/>
  <c r="I651" i="65"/>
  <c r="H641" i="65"/>
  <c r="H489" i="65"/>
  <c r="H308" i="65"/>
  <c r="I88" i="65"/>
  <c r="I357" i="65"/>
  <c r="I404" i="65"/>
  <c r="H13" i="65"/>
  <c r="I118" i="65"/>
  <c r="I185" i="65"/>
  <c r="G209" i="65"/>
  <c r="I561" i="65"/>
  <c r="I598" i="65"/>
  <c r="H627" i="65"/>
  <c r="H651" i="65"/>
  <c r="H661" i="65"/>
  <c r="H671" i="65"/>
  <c r="H678" i="65"/>
  <c r="H688" i="65"/>
  <c r="H698" i="65"/>
  <c r="I688" i="65"/>
  <c r="I695" i="65"/>
  <c r="H705" i="65"/>
  <c r="G702" i="65"/>
  <c r="I708" i="65"/>
  <c r="H695" i="65"/>
  <c r="I528" i="65"/>
  <c r="I568" i="65"/>
  <c r="I595" i="65"/>
  <c r="H595" i="65"/>
  <c r="I621" i="65"/>
  <c r="H658" i="65"/>
  <c r="H648" i="65"/>
  <c r="I685" i="65"/>
  <c r="I661" i="65"/>
  <c r="I678" i="65"/>
  <c r="I668" i="65"/>
  <c r="H608" i="65"/>
  <c r="H294" i="65"/>
  <c r="H298" i="65"/>
  <c r="I318" i="65"/>
  <c r="H324" i="65"/>
  <c r="H355" i="65"/>
  <c r="I340" i="65"/>
  <c r="H438" i="65"/>
  <c r="H497" i="65"/>
  <c r="G492" i="65"/>
  <c r="H525" i="65"/>
  <c r="I531" i="65"/>
  <c r="H541" i="65"/>
  <c r="H589" i="65"/>
  <c r="I599" i="65"/>
  <c r="I589" i="65"/>
  <c r="H599" i="65"/>
  <c r="H598" i="65"/>
  <c r="H578" i="65"/>
  <c r="I705" i="65"/>
  <c r="I299" i="65"/>
  <c r="I305" i="65"/>
  <c r="H550" i="65"/>
  <c r="I556" i="65"/>
  <c r="G542" i="65"/>
  <c r="H26" i="65"/>
  <c r="I46" i="65"/>
  <c r="H46" i="65"/>
  <c r="H57" i="65"/>
  <c r="H72" i="65"/>
  <c r="H66" i="65"/>
  <c r="H76" i="65"/>
  <c r="I85" i="65"/>
  <c r="H85" i="65"/>
  <c r="I82" i="65"/>
  <c r="I86" i="65"/>
  <c r="I106" i="65"/>
  <c r="I96" i="65"/>
  <c r="H106" i="65"/>
  <c r="H125" i="65"/>
  <c r="I135" i="65"/>
  <c r="H143" i="65"/>
  <c r="H153" i="65"/>
  <c r="H163" i="65"/>
  <c r="I174" i="65"/>
  <c r="H174" i="65"/>
  <c r="I193" i="65"/>
  <c r="H203" i="65"/>
  <c r="I215" i="65"/>
  <c r="H215" i="65"/>
  <c r="H233" i="65"/>
  <c r="I233" i="65"/>
  <c r="H247" i="65"/>
  <c r="H237" i="65"/>
  <c r="H252" i="65"/>
  <c r="H263" i="65"/>
  <c r="H267" i="65"/>
  <c r="I257" i="65"/>
  <c r="H264" i="65"/>
  <c r="I264" i="65"/>
  <c r="I275" i="65"/>
  <c r="H275" i="65"/>
  <c r="H273" i="65"/>
  <c r="I277" i="65"/>
  <c r="H277" i="65"/>
  <c r="I287" i="65"/>
  <c r="I248" i="65"/>
  <c r="G712" i="65"/>
  <c r="I87" i="65"/>
  <c r="I586" i="65"/>
  <c r="I669" i="65"/>
  <c r="H668" i="65"/>
  <c r="H488" i="65"/>
  <c r="H376" i="65"/>
  <c r="I549" i="65"/>
  <c r="H645" i="65"/>
  <c r="H625" i="65"/>
  <c r="H586" i="65"/>
  <c r="H208" i="65"/>
  <c r="H510" i="65"/>
  <c r="H435" i="65"/>
  <c r="I438" i="65"/>
  <c r="I425" i="65"/>
  <c r="I429" i="65"/>
  <c r="I158" i="65"/>
  <c r="I350" i="65"/>
  <c r="I660" i="65"/>
  <c r="I27" i="65"/>
  <c r="I15" i="65"/>
  <c r="H699" i="65"/>
  <c r="I676" i="65"/>
  <c r="H137" i="65"/>
  <c r="I296" i="65"/>
  <c r="H87" i="65"/>
  <c r="H596" i="65"/>
  <c r="H256" i="65"/>
  <c r="I33" i="65"/>
  <c r="I198" i="65"/>
  <c r="I707" i="65"/>
  <c r="H92" i="65"/>
  <c r="I102" i="65"/>
  <c r="I92" i="65"/>
  <c r="I168" i="65"/>
  <c r="I16" i="65"/>
  <c r="H54" i="65"/>
  <c r="I405" i="65"/>
  <c r="I490" i="65"/>
  <c r="G19" i="65"/>
  <c r="H337" i="65"/>
  <c r="I628" i="65"/>
  <c r="I17" i="65"/>
  <c r="I146" i="65"/>
  <c r="I175" i="65"/>
  <c r="I580" i="65"/>
  <c r="I635" i="65"/>
  <c r="H686" i="65"/>
  <c r="I335" i="65"/>
  <c r="H408" i="65"/>
  <c r="I408" i="65"/>
  <c r="I421" i="65"/>
  <c r="I431" i="65"/>
  <c r="I445" i="65"/>
  <c r="H475" i="65"/>
  <c r="I476" i="65"/>
  <c r="I486" i="65"/>
  <c r="H650" i="65"/>
  <c r="I640" i="65"/>
  <c r="H640" i="65"/>
  <c r="H446" i="65"/>
  <c r="I508" i="65"/>
  <c r="H480" i="65"/>
  <c r="I496" i="65"/>
  <c r="I650" i="65"/>
  <c r="H345" i="65"/>
  <c r="I124" i="65"/>
  <c r="H134" i="65"/>
  <c r="H124" i="65"/>
  <c r="H194" i="65"/>
  <c r="I194" i="65"/>
  <c r="H184" i="65"/>
  <c r="H205" i="65"/>
  <c r="H225" i="65"/>
  <c r="H278" i="65"/>
  <c r="I278" i="65"/>
  <c r="I289" i="65"/>
  <c r="H350" i="65"/>
  <c r="H340" i="65"/>
  <c r="H356" i="65"/>
  <c r="H380" i="65"/>
  <c r="I384" i="65"/>
  <c r="G391" i="65"/>
  <c r="H409" i="65"/>
  <c r="I456" i="65"/>
  <c r="H469" i="65"/>
  <c r="I481" i="65"/>
  <c r="H481" i="65"/>
  <c r="H591" i="65"/>
  <c r="I591" i="65"/>
  <c r="H637" i="65"/>
  <c r="I637" i="65"/>
  <c r="H366" i="65"/>
  <c r="I173" i="65"/>
  <c r="H146" i="65"/>
  <c r="H175" i="65"/>
  <c r="I355" i="65"/>
  <c r="I145" i="65"/>
  <c r="H17" i="65"/>
  <c r="H617" i="65"/>
  <c r="I480" i="65"/>
  <c r="I459" i="65"/>
  <c r="H244" i="65"/>
  <c r="H455" i="65"/>
  <c r="H358" i="65"/>
  <c r="I306" i="65"/>
  <c r="I142" i="65"/>
  <c r="H421" i="65"/>
  <c r="I410" i="65"/>
  <c r="H441" i="65"/>
  <c r="G341" i="65"/>
  <c r="H34" i="65"/>
  <c r="I66" i="65"/>
  <c r="I56" i="65"/>
  <c r="H45" i="65"/>
  <c r="I63" i="65"/>
  <c r="H86" i="65"/>
  <c r="I125" i="65"/>
  <c r="H135" i="65"/>
  <c r="I202" i="65"/>
  <c r="H227" i="65"/>
  <c r="I227" i="65"/>
  <c r="I213" i="65"/>
  <c r="H226" i="65"/>
  <c r="I236" i="65"/>
  <c r="I252" i="65"/>
  <c r="I246" i="65"/>
  <c r="I263" i="65"/>
  <c r="I267" i="65"/>
  <c r="H293" i="65"/>
  <c r="H303" i="65"/>
  <c r="I303" i="65"/>
  <c r="H327" i="65"/>
  <c r="H546" i="65"/>
  <c r="I536" i="65"/>
  <c r="I541" i="65"/>
  <c r="H555" i="65"/>
  <c r="I555" i="65"/>
  <c r="I545" i="65"/>
  <c r="I569" i="65"/>
  <c r="H576" i="65"/>
  <c r="I578" i="65"/>
  <c r="I601" i="65"/>
  <c r="I597" i="65"/>
  <c r="H618" i="65"/>
  <c r="H615" i="65"/>
  <c r="I617" i="65"/>
  <c r="I631" i="65"/>
  <c r="I639" i="65"/>
  <c r="H659" i="65"/>
  <c r="I649" i="65"/>
  <c r="I698" i="65"/>
  <c r="H400" i="65"/>
  <c r="I394" i="65"/>
  <c r="H404" i="65"/>
  <c r="H437" i="65"/>
  <c r="I450" i="65"/>
  <c r="I469" i="65"/>
  <c r="H479" i="65"/>
  <c r="I497" i="65"/>
  <c r="H537" i="65"/>
  <c r="I527" i="65"/>
  <c r="I647" i="65"/>
  <c r="I718" i="65"/>
  <c r="I365" i="65"/>
  <c r="I657" i="65"/>
  <c r="I446" i="65"/>
  <c r="H465" i="65"/>
  <c r="H431" i="65"/>
  <c r="I152" i="65"/>
  <c r="H405" i="65"/>
  <c r="H476" i="65"/>
  <c r="H487" i="65"/>
  <c r="I487" i="65"/>
  <c r="I509" i="65"/>
  <c r="I519" i="65"/>
  <c r="I518" i="65"/>
  <c r="H628" i="65"/>
  <c r="H638" i="65"/>
  <c r="I309" i="65"/>
  <c r="I314" i="65"/>
  <c r="I436" i="65"/>
  <c r="H657" i="65"/>
  <c r="H730" i="65"/>
  <c r="H349" i="65"/>
  <c r="I455" i="65"/>
  <c r="I12" i="65"/>
  <c r="H299" i="65"/>
  <c r="I234" i="65"/>
  <c r="I611" i="65"/>
  <c r="H410" i="65"/>
  <c r="H132" i="65"/>
  <c r="I132" i="65"/>
  <c r="H365" i="65"/>
  <c r="H508" i="65"/>
  <c r="I386" i="65"/>
  <c r="H518" i="65"/>
  <c r="H461" i="65"/>
  <c r="I389" i="65"/>
  <c r="I461" i="65"/>
  <c r="H647" i="65"/>
  <c r="H621" i="65"/>
  <c r="G652" i="65"/>
  <c r="I608" i="65"/>
  <c r="I208" i="65"/>
  <c r="I479" i="65"/>
  <c r="I156" i="65"/>
  <c r="H490" i="65"/>
  <c r="I400" i="65"/>
  <c r="I465" i="65"/>
  <c r="I225" i="65"/>
  <c r="H397" i="65"/>
  <c r="H399" i="65"/>
  <c r="I345" i="65"/>
  <c r="H12" i="65"/>
  <c r="H55" i="65"/>
  <c r="H58" i="65"/>
  <c r="I58" i="65"/>
  <c r="I48" i="65"/>
  <c r="I78" i="65"/>
  <c r="H78" i="65"/>
  <c r="G79" i="65"/>
  <c r="H98" i="65"/>
  <c r="H122" i="65"/>
  <c r="H536" i="65"/>
  <c r="I526" i="65"/>
  <c r="I529" i="65"/>
  <c r="H547" i="65"/>
  <c r="I537" i="65"/>
  <c r="H559" i="65"/>
  <c r="H560" i="65"/>
  <c r="I588" i="65"/>
  <c r="I659" i="65"/>
  <c r="I717" i="65"/>
  <c r="G49" i="65"/>
  <c r="I112" i="65"/>
  <c r="I182" i="65"/>
  <c r="I72" i="65"/>
  <c r="I138" i="65"/>
  <c r="H172" i="65"/>
  <c r="I656" i="65"/>
  <c r="H506" i="65"/>
  <c r="H561" i="65"/>
  <c r="H725" i="65"/>
  <c r="I670" i="65"/>
  <c r="H217" i="65"/>
  <c r="I259" i="65"/>
  <c r="H187" i="65"/>
  <c r="I167" i="65"/>
  <c r="I686" i="65"/>
  <c r="I521" i="65"/>
  <c r="G472" i="65"/>
  <c r="G260" i="65"/>
  <c r="H681" i="65"/>
  <c r="H112" i="65"/>
  <c r="G562" i="65"/>
  <c r="I265" i="65"/>
  <c r="G119" i="65"/>
  <c r="I488" i="65"/>
  <c r="I286" i="65"/>
  <c r="G662" i="65"/>
  <c r="H375" i="65"/>
  <c r="I626" i="65"/>
  <c r="I630" i="65"/>
  <c r="H587" i="65"/>
  <c r="I506" i="65"/>
  <c r="H528" i="65"/>
  <c r="G401" i="65"/>
  <c r="H192" i="65"/>
  <c r="I95" i="65"/>
  <c r="I55" i="65"/>
  <c r="I587" i="65"/>
  <c r="I551" i="65"/>
  <c r="H309" i="65"/>
  <c r="H521" i="65"/>
  <c r="I360" i="65"/>
  <c r="I467" i="65"/>
  <c r="I398" i="65"/>
  <c r="H367" i="65"/>
  <c r="I294" i="65"/>
  <c r="H385" i="65"/>
  <c r="G169" i="65"/>
  <c r="H388" i="65"/>
  <c r="H344" i="65"/>
  <c r="H269" i="65"/>
  <c r="H439" i="65"/>
  <c r="H326" i="65"/>
  <c r="H245" i="65"/>
  <c r="I319" i="65"/>
  <c r="I235" i="65"/>
  <c r="I97" i="65"/>
  <c r="I143" i="65"/>
  <c r="I304" i="65"/>
  <c r="G331" i="65"/>
  <c r="H398" i="65"/>
  <c r="H415" i="65"/>
  <c r="H526" i="65"/>
  <c r="H545" i="65"/>
  <c r="H551" i="65"/>
  <c r="H577" i="65"/>
  <c r="H667" i="65"/>
  <c r="I709" i="65"/>
  <c r="I726" i="65"/>
  <c r="H496" i="65"/>
  <c r="H580" i="65"/>
  <c r="H738" i="65"/>
  <c r="G159" i="65"/>
  <c r="I217" i="65"/>
  <c r="I315" i="65"/>
  <c r="I197" i="65"/>
  <c r="G89" i="65"/>
  <c r="H715" i="65"/>
  <c r="H234" i="65"/>
  <c r="G381" i="65"/>
  <c r="H35" i="65"/>
  <c r="G432" i="65"/>
  <c r="H266" i="65"/>
  <c r="I440" i="65"/>
  <c r="I126" i="65"/>
  <c r="H116" i="65"/>
  <c r="H157" i="65"/>
  <c r="G512" i="65"/>
  <c r="I116" i="65"/>
  <c r="H36" i="65"/>
  <c r="I636" i="65"/>
  <c r="H655" i="65"/>
  <c r="G642" i="65"/>
  <c r="I620" i="65"/>
  <c r="H590" i="65"/>
  <c r="H600" i="65"/>
  <c r="G39" i="65"/>
  <c r="G502" i="65"/>
  <c r="G532" i="65"/>
  <c r="I192" i="65"/>
  <c r="G270" i="65"/>
  <c r="H162" i="65"/>
  <c r="H428" i="65"/>
  <c r="H478" i="65"/>
  <c r="H511" i="65"/>
  <c r="G522" i="65"/>
  <c r="I477" i="65"/>
  <c r="H304" i="65"/>
  <c r="I336" i="65"/>
  <c r="I254" i="65"/>
  <c r="H354" i="65"/>
  <c r="H325" i="65"/>
  <c r="I396" i="65"/>
  <c r="H235" i="65"/>
  <c r="H315" i="65"/>
  <c r="H370" i="65"/>
  <c r="H279" i="65"/>
  <c r="I385" i="65"/>
  <c r="I437" i="65"/>
  <c r="I475" i="65"/>
  <c r="I658" i="65"/>
  <c r="H710" i="65"/>
  <c r="H716" i="65"/>
  <c r="I720" i="65"/>
  <c r="H726" i="65"/>
  <c r="I737" i="65"/>
  <c r="I415" i="65"/>
  <c r="H610" i="65"/>
  <c r="I609" i="65"/>
  <c r="I735" i="65"/>
  <c r="H25" i="65"/>
  <c r="H728" i="65"/>
  <c r="I349" i="65"/>
  <c r="I64" i="65"/>
  <c r="H197" i="65"/>
  <c r="G722" i="65"/>
  <c r="I426" i="65"/>
  <c r="G280" i="65"/>
  <c r="I157" i="65"/>
  <c r="G129" i="65"/>
  <c r="I515" i="65"/>
  <c r="I147" i="65"/>
  <c r="H665" i="65"/>
  <c r="H660" i="65"/>
  <c r="I610" i="65"/>
  <c r="H570" i="65"/>
  <c r="I501" i="65"/>
  <c r="I577" i="65"/>
  <c r="I538" i="65"/>
  <c r="I520" i="65"/>
  <c r="I511" i="65"/>
  <c r="H336" i="65"/>
  <c r="H254" i="65"/>
  <c r="H418" i="65"/>
  <c r="I409" i="65"/>
  <c r="H359" i="65"/>
  <c r="I420" i="65"/>
  <c r="I295" i="65"/>
  <c r="H74" i="65"/>
  <c r="H360" i="65"/>
  <c r="H346" i="65"/>
  <c r="I57" i="65"/>
  <c r="I195" i="65"/>
  <c r="H284" i="65"/>
  <c r="H500" i="65"/>
  <c r="H519" i="65"/>
  <c r="H569" i="65"/>
  <c r="I575" i="65"/>
  <c r="I579" i="65"/>
  <c r="H606" i="65"/>
  <c r="H607" i="65"/>
  <c r="I625" i="65"/>
  <c r="I700" i="65"/>
  <c r="H731" i="65"/>
  <c r="G442" i="65"/>
  <c r="G732" i="65"/>
  <c r="I742" i="65" s="1"/>
  <c r="H450" i="65"/>
  <c r="H460" i="65"/>
  <c r="H64" i="65"/>
  <c r="G310" i="65"/>
  <c r="G249" i="65"/>
  <c r="H118" i="65"/>
  <c r="H718" i="65"/>
  <c r="H675" i="65"/>
  <c r="I679" i="65"/>
  <c r="I285" i="65"/>
  <c r="I36" i="65"/>
  <c r="G69" i="65"/>
  <c r="G452" i="65"/>
  <c r="I505" i="65"/>
  <c r="G290" i="65"/>
  <c r="H520" i="65"/>
  <c r="G632" i="65"/>
  <c r="I162" i="65"/>
  <c r="G219" i="65"/>
  <c r="H396" i="65"/>
  <c r="I570" i="65"/>
  <c r="G572" i="65"/>
  <c r="I439" i="65"/>
  <c r="H515" i="65"/>
  <c r="H467" i="65"/>
  <c r="H313" i="65"/>
  <c r="I388" i="65"/>
  <c r="I428" i="65"/>
  <c r="H420" i="65"/>
  <c r="I266" i="65"/>
  <c r="H440" i="65"/>
  <c r="H295" i="65"/>
  <c r="I313" i="65"/>
  <c r="I276" i="65"/>
  <c r="I35" i="65"/>
  <c r="G59" i="65"/>
  <c r="H148" i="65"/>
  <c r="H176" i="65"/>
  <c r="H222" i="65"/>
  <c r="H265" i="65"/>
  <c r="H285" i="65"/>
  <c r="I359" i="65"/>
  <c r="H456" i="65"/>
  <c r="I466" i="65"/>
  <c r="H501" i="65"/>
  <c r="H581" i="65"/>
  <c r="H605" i="65"/>
  <c r="H629" i="65"/>
  <c r="H636" i="65"/>
  <c r="H646" i="65"/>
  <c r="H727" i="65"/>
  <c r="I728" i="65"/>
  <c r="I696" i="65"/>
  <c r="H670" i="65"/>
  <c r="G29" i="65"/>
  <c r="G149" i="65"/>
  <c r="I224" i="65"/>
  <c r="H224" i="65"/>
  <c r="I108" i="65"/>
  <c r="H689" i="65"/>
  <c r="I689" i="65"/>
  <c r="I18" i="65"/>
  <c r="I665" i="65"/>
  <c r="H679" i="65"/>
  <c r="H102" i="65"/>
  <c r="G361" i="65"/>
  <c r="G320" i="65"/>
  <c r="I330" i="65" s="1"/>
  <c r="G672" i="65"/>
  <c r="G682" i="65"/>
  <c r="I671" i="65"/>
  <c r="I560" i="65"/>
  <c r="I478" i="65"/>
  <c r="I646" i="65"/>
  <c r="H538" i="65"/>
  <c r="H566" i="65"/>
  <c r="H619" i="65"/>
  <c r="G602" i="65"/>
  <c r="I548" i="65"/>
  <c r="H505" i="65"/>
  <c r="I546" i="65"/>
  <c r="G229" i="65"/>
  <c r="G592" i="65"/>
  <c r="H556" i="65"/>
  <c r="H477" i="65"/>
  <c r="G351" i="65"/>
  <c r="H447" i="65"/>
  <c r="I367" i="65"/>
  <c r="I375" i="65"/>
  <c r="I418" i="65"/>
  <c r="I245" i="65"/>
  <c r="I325" i="65"/>
  <c r="I269" i="65"/>
  <c r="I207" i="65"/>
  <c r="I346" i="65"/>
  <c r="I354" i="65"/>
  <c r="H319" i="65"/>
  <c r="H429" i="65"/>
  <c r="H276" i="65"/>
  <c r="I74" i="65"/>
  <c r="I26" i="65"/>
  <c r="H47" i="65"/>
  <c r="H84" i="65"/>
  <c r="H156" i="65"/>
  <c r="H182" i="65"/>
  <c r="I253" i="65"/>
  <c r="I368" i="65"/>
  <c r="I337" i="65"/>
  <c r="H386" i="65"/>
  <c r="H445" i="65"/>
  <c r="H531" i="65"/>
  <c r="I547" i="65"/>
  <c r="H597" i="65"/>
  <c r="I590" i="65"/>
  <c r="H631" i="65"/>
  <c r="H685" i="65"/>
  <c r="I690" i="65"/>
  <c r="H708" i="65"/>
  <c r="I716" i="65"/>
  <c r="I719" i="65"/>
  <c r="I725" i="65"/>
  <c r="H735" i="65"/>
  <c r="H737" i="65"/>
  <c r="I37" i="65"/>
  <c r="H37" i="65"/>
  <c r="H42" i="65"/>
  <c r="G9" i="65"/>
  <c r="I165" i="65"/>
  <c r="H165" i="65"/>
  <c r="H167" i="65"/>
  <c r="H177" i="65"/>
  <c r="I177" i="65"/>
  <c r="G189" i="65"/>
  <c r="G612" i="65"/>
  <c r="G622" i="65"/>
  <c r="I701" i="65"/>
  <c r="H701" i="65"/>
  <c r="I731" i="65"/>
  <c r="H114" i="65"/>
  <c r="G109" i="65"/>
  <c r="H123" i="65"/>
  <c r="I113" i="65"/>
  <c r="I128" i="65"/>
  <c r="H128" i="65"/>
  <c r="I148" i="65"/>
  <c r="H166" i="65"/>
  <c r="I163" i="65"/>
  <c r="H178" i="65"/>
  <c r="G179" i="65"/>
  <c r="I172" i="65"/>
  <c r="I457" i="65"/>
  <c r="I447" i="65"/>
  <c r="H457" i="65"/>
  <c r="I460" i="65"/>
  <c r="G462" i="65"/>
  <c r="H620" i="65"/>
  <c r="H630" i="65"/>
  <c r="H696" i="65"/>
  <c r="G692" i="65"/>
  <c r="H108" i="65"/>
  <c r="I98" i="65"/>
  <c r="H105" i="65"/>
  <c r="I105" i="65"/>
  <c r="I115" i="65"/>
  <c r="H115" i="65"/>
  <c r="I114" i="65"/>
  <c r="G139" i="65"/>
  <c r="H384" i="65"/>
  <c r="H394" i="65"/>
  <c r="I399" i="65"/>
  <c r="H389" i="65"/>
  <c r="H407" i="65"/>
  <c r="I397" i="65"/>
  <c r="I416" i="65"/>
  <c r="I427" i="65"/>
  <c r="H427" i="65"/>
  <c r="H451" i="65"/>
  <c r="I441" i="65"/>
  <c r="I451" i="65"/>
  <c r="H448" i="65"/>
  <c r="I448" i="65"/>
  <c r="H458" i="65"/>
  <c r="I576" i="65"/>
  <c r="I566" i="65"/>
  <c r="H752" i="65"/>
  <c r="I752" i="65"/>
  <c r="H32" i="65"/>
  <c r="I104" i="65"/>
  <c r="H103" i="65"/>
  <c r="I93" i="65"/>
  <c r="G99" i="65"/>
  <c r="H136" i="65"/>
  <c r="I238" i="65"/>
  <c r="H248" i="65"/>
  <c r="H296" i="65"/>
  <c r="G300" i="65"/>
  <c r="I316" i="65"/>
  <c r="I326" i="65"/>
  <c r="H338" i="65"/>
  <c r="H348" i="65"/>
  <c r="I328" i="65"/>
  <c r="I356" i="65"/>
  <c r="I366" i="65"/>
  <c r="I369" i="65"/>
  <c r="H369" i="65"/>
  <c r="I379" i="65"/>
  <c r="H379" i="65"/>
  <c r="I377" i="65"/>
  <c r="H387" i="65"/>
  <c r="H377" i="65"/>
  <c r="I387" i="65"/>
  <c r="H390" i="65"/>
  <c r="I390" i="65"/>
  <c r="H517" i="65"/>
  <c r="H507" i="65"/>
  <c r="H535" i="65"/>
  <c r="I525" i="65"/>
  <c r="I558" i="65"/>
  <c r="H548" i="65"/>
  <c r="H558" i="65"/>
  <c r="G552" i="65"/>
  <c r="I42" i="65"/>
  <c r="I73" i="65"/>
  <c r="H83" i="65"/>
  <c r="I83" i="65"/>
  <c r="I218" i="65"/>
  <c r="H228" i="65"/>
  <c r="H232" i="65"/>
  <c r="I232" i="65"/>
  <c r="I228" i="65"/>
  <c r="H238" i="65"/>
  <c r="H243" i="65"/>
  <c r="I243" i="65"/>
  <c r="G239" i="65"/>
  <c r="H289" i="65"/>
  <c r="I279" i="65"/>
  <c r="I283" i="65"/>
  <c r="I293" i="65"/>
  <c r="H283" i="65"/>
  <c r="H288" i="65"/>
  <c r="I288" i="65"/>
  <c r="I297" i="65"/>
  <c r="H307" i="65"/>
  <c r="H297" i="65"/>
  <c r="I307" i="65"/>
  <c r="H334" i="65"/>
  <c r="I324" i="65"/>
  <c r="I344" i="65"/>
  <c r="H339" i="65"/>
  <c r="H329" i="65"/>
  <c r="I329" i="65"/>
  <c r="H347" i="65"/>
  <c r="I347" i="65"/>
  <c r="I364" i="65"/>
  <c r="H364" i="65"/>
  <c r="I374" i="65"/>
  <c r="G371" i="65"/>
  <c r="I380" i="65"/>
  <c r="I370" i="65"/>
  <c r="I339" i="65"/>
  <c r="I378" i="65"/>
  <c r="H416" i="65"/>
  <c r="I406" i="65"/>
  <c r="G411" i="65"/>
  <c r="H406" i="65"/>
  <c r="I470" i="65"/>
  <c r="H491" i="65"/>
  <c r="I491" i="65"/>
  <c r="H509" i="65"/>
  <c r="I499" i="65"/>
  <c r="H499" i="65"/>
  <c r="I530" i="65"/>
  <c r="H530" i="65"/>
  <c r="H540" i="65"/>
  <c r="I540" i="65"/>
  <c r="H549" i="65"/>
  <c r="I539" i="65"/>
  <c r="H739" i="65"/>
  <c r="I729" i="65"/>
  <c r="H729" i="65"/>
  <c r="I47" i="65"/>
  <c r="H56" i="65"/>
  <c r="H65" i="65"/>
  <c r="I65" i="65"/>
  <c r="I84" i="65"/>
  <c r="H164" i="65"/>
  <c r="H154" i="65"/>
  <c r="I186" i="65"/>
  <c r="H186" i="65"/>
  <c r="I176" i="65"/>
  <c r="I206" i="65"/>
  <c r="G199" i="65"/>
  <c r="I196" i="65"/>
  <c r="H214" i="65"/>
  <c r="H204" i="65"/>
  <c r="I223" i="65"/>
  <c r="I274" i="65"/>
  <c r="I284" i="65"/>
  <c r="I471" i="65"/>
  <c r="H471" i="65"/>
  <c r="H486" i="65"/>
  <c r="G482" i="65"/>
  <c r="I510" i="65"/>
  <c r="I500" i="65"/>
  <c r="H527" i="65"/>
  <c r="I517" i="65"/>
  <c r="H736" i="65"/>
  <c r="I736" i="65"/>
  <c r="I730" i="65"/>
  <c r="H740" i="65"/>
  <c r="I740" i="65"/>
  <c r="I214" i="65"/>
  <c r="H27" i="65"/>
  <c r="H22" i="65"/>
  <c r="I53" i="65"/>
  <c r="H63" i="65"/>
  <c r="I75" i="65"/>
  <c r="H147" i="65"/>
  <c r="I244" i="65"/>
  <c r="I298" i="65"/>
  <c r="I308" i="65"/>
  <c r="H317" i="65"/>
  <c r="H318" i="65"/>
  <c r="H328" i="65"/>
  <c r="H368" i="65"/>
  <c r="I358" i="65"/>
  <c r="I407" i="65"/>
  <c r="G582" i="65"/>
  <c r="H709" i="65"/>
  <c r="H741" i="65"/>
  <c r="I741" i="65"/>
  <c r="I738" i="65"/>
  <c r="I123" i="65"/>
  <c r="I133" i="65"/>
  <c r="H236" i="65"/>
  <c r="I237" i="65"/>
  <c r="I258" i="65"/>
  <c r="H268" i="65"/>
  <c r="I395" i="65"/>
  <c r="I414" i="65"/>
  <c r="G422" i="65"/>
  <c r="H414" i="65"/>
  <c r="I419" i="65"/>
  <c r="H419" i="65"/>
  <c r="H459" i="65"/>
  <c r="H449" i="65"/>
  <c r="I449" i="65"/>
  <c r="I638" i="65"/>
  <c r="H185" i="65"/>
  <c r="H195" i="65"/>
  <c r="I205" i="65"/>
  <c r="I203" i="65"/>
  <c r="I242" i="65"/>
  <c r="H257" i="65"/>
  <c r="H498" i="65"/>
  <c r="I498" i="65"/>
  <c r="H253" i="65"/>
  <c r="AT6" i="1"/>
  <c r="AZ6" i="1"/>
  <c r="EG6" i="1"/>
  <c r="EG12" i="1" s="1"/>
  <c r="CJ6" i="1"/>
  <c r="BC6" i="1"/>
  <c r="DW6" i="1"/>
  <c r="DW12" i="1" s="1"/>
  <c r="DT6" i="1"/>
  <c r="DT12" i="1" s="1"/>
  <c r="DG6" i="1"/>
  <c r="DG12" i="1" s="1"/>
  <c r="DA6" i="1"/>
  <c r="DA12" i="1" s="1"/>
  <c r="DP6" i="1"/>
  <c r="DP12" i="1" s="1"/>
  <c r="ET6" i="1"/>
  <c r="ET12" i="1" s="1"/>
  <c r="EU6" i="1"/>
  <c r="EU12" i="1" s="1"/>
  <c r="EY6" i="1"/>
  <c r="EY12" i="1" s="1"/>
  <c r="EC6" i="1"/>
  <c r="EC12" i="1" s="1"/>
  <c r="AO6" i="1"/>
  <c r="DF6" i="1"/>
  <c r="DF12" i="1" s="1"/>
  <c r="AY6" i="1"/>
  <c r="BB6" i="1"/>
  <c r="CI6" i="1"/>
  <c r="CK6" i="1"/>
  <c r="CM6" i="1"/>
  <c r="CP6" i="1"/>
  <c r="CP12" i="1" s="1"/>
  <c r="CU6" i="1"/>
  <c r="CU12" i="1" s="1"/>
  <c r="DM6" i="1"/>
  <c r="DM12" i="1" s="1"/>
  <c r="DO6" i="1"/>
  <c r="EO6" i="1"/>
  <c r="EO12" i="1" s="1"/>
  <c r="HY31" i="1"/>
  <c r="HZ31" i="1" s="1"/>
  <c r="DN6" i="1"/>
  <c r="DN12" i="1" s="1"/>
  <c r="EQ6" i="1"/>
  <c r="EQ12" i="1" s="1"/>
  <c r="DR6" i="1"/>
  <c r="DR12" i="1" s="1"/>
  <c r="BE6" i="1"/>
  <c r="BK6" i="1"/>
  <c r="BU6" i="1"/>
  <c r="HY24" i="1" s="1"/>
  <c r="HZ24" i="1" s="1"/>
  <c r="BY6" i="1"/>
  <c r="CB6" i="1"/>
  <c r="DB6" i="1"/>
  <c r="DB12" i="1" s="1"/>
  <c r="DZ6" i="1"/>
  <c r="DZ12" i="1" s="1"/>
  <c r="EA6" i="1"/>
  <c r="EA12" i="1" s="1"/>
  <c r="EK6" i="1"/>
  <c r="EK12" i="1" s="1"/>
  <c r="EM6" i="1"/>
  <c r="EM12" i="1" s="1"/>
  <c r="AR6" i="1"/>
  <c r="HZ22" i="1"/>
  <c r="BW6" i="1"/>
  <c r="DE6" i="1"/>
  <c r="DE12" i="1" s="1"/>
  <c r="CL6" i="1"/>
  <c r="BH6" i="1"/>
  <c r="BI6" i="1"/>
  <c r="HY23" i="1" s="1"/>
  <c r="HZ23" i="1" s="1"/>
  <c r="BO6" i="1"/>
  <c r="BP6" i="1"/>
  <c r="BX6" i="1"/>
  <c r="DQ6" i="1"/>
  <c r="DQ12" i="1" s="1"/>
  <c r="EV6" i="1"/>
  <c r="EV12" i="1" s="1"/>
  <c r="EI12" i="1"/>
  <c r="BF6" i="1"/>
  <c r="DO12" i="1"/>
  <c r="DV12" i="1"/>
  <c r="CO12" i="1"/>
  <c r="HY26" i="1"/>
  <c r="HZ26" i="1" s="1"/>
  <c r="CT12" i="1"/>
  <c r="I572" i="65" l="1"/>
  <c r="I562" i="65"/>
  <c r="GW10" i="1"/>
  <c r="GX1" i="1"/>
  <c r="HY30" i="1"/>
  <c r="HZ30" i="1" s="1"/>
  <c r="HY29" i="1"/>
  <c r="HZ29" i="1" s="1"/>
  <c r="Q150" i="36"/>
  <c r="Q164" i="36"/>
  <c r="Q151" i="36"/>
  <c r="Q158" i="36"/>
  <c r="Q156" i="36"/>
  <c r="Q161" i="36"/>
  <c r="Q154" i="36"/>
  <c r="Q160" i="36"/>
  <c r="Q159" i="36"/>
  <c r="Q141" i="36"/>
  <c r="Q153" i="36"/>
  <c r="Q165" i="36"/>
  <c r="I46" i="36"/>
  <c r="I37" i="36"/>
  <c r="Q152" i="36"/>
  <c r="Q162" i="36"/>
  <c r="Q148" i="36"/>
  <c r="Q149" i="36"/>
  <c r="Q80" i="36"/>
  <c r="Q144" i="36"/>
  <c r="Q147" i="36"/>
  <c r="Q84" i="36"/>
  <c r="Q129" i="36"/>
  <c r="Q82" i="36"/>
  <c r="Q140" i="36"/>
  <c r="Q145" i="36"/>
  <c r="Q146" i="36"/>
  <c r="Q143" i="36"/>
  <c r="Q87" i="36"/>
  <c r="I712" i="65"/>
  <c r="H169" i="65"/>
  <c r="I49" i="65"/>
  <c r="H391" i="65"/>
  <c r="F20" i="56"/>
  <c r="R9" i="41"/>
  <c r="R10" i="41"/>
  <c r="H582" i="65"/>
  <c r="Q136" i="36"/>
  <c r="F21" i="60"/>
  <c r="K9" i="7"/>
  <c r="K8" i="7"/>
  <c r="Q142" i="36"/>
  <c r="F21" i="74"/>
  <c r="F20" i="52"/>
  <c r="F20" i="62"/>
  <c r="F18" i="62"/>
  <c r="F19" i="62"/>
  <c r="F17" i="62"/>
  <c r="K10" i="13"/>
  <c r="K8" i="13"/>
  <c r="K9" i="13"/>
  <c r="F21" i="33"/>
  <c r="K10" i="7"/>
  <c r="F20" i="28"/>
  <c r="F18" i="28"/>
  <c r="F17" i="28"/>
  <c r="F19" i="28"/>
  <c r="Q97" i="36"/>
  <c r="Q100" i="36"/>
  <c r="Q85" i="36"/>
  <c r="Q88" i="36"/>
  <c r="Q91" i="36"/>
  <c r="Q94" i="36"/>
  <c r="H652" i="65"/>
  <c r="I89" i="65"/>
  <c r="I662" i="65"/>
  <c r="F19" i="42"/>
  <c r="F17" i="42"/>
  <c r="F18" i="42"/>
  <c r="F20" i="42"/>
  <c r="Q93" i="36"/>
  <c r="Q81" i="36"/>
  <c r="Q99" i="36"/>
  <c r="Q96" i="36"/>
  <c r="F20" i="59"/>
  <c r="Q90" i="36"/>
  <c r="I381" i="65"/>
  <c r="I401" i="65"/>
  <c r="Q102" i="36"/>
  <c r="R8" i="41"/>
  <c r="Q107" i="36"/>
  <c r="Q101" i="36"/>
  <c r="Q98" i="36"/>
  <c r="Q83" i="36"/>
  <c r="Q122" i="36"/>
  <c r="Q119" i="36"/>
  <c r="Q89" i="36"/>
  <c r="Q92" i="36"/>
  <c r="Q95" i="36"/>
  <c r="Q116" i="36"/>
  <c r="Q113" i="36"/>
  <c r="Q86" i="36"/>
  <c r="Q124" i="36"/>
  <c r="Q106" i="36"/>
  <c r="Q103" i="36"/>
  <c r="Q115" i="36"/>
  <c r="Q109" i="36"/>
  <c r="Q112" i="36"/>
  <c r="Q118" i="36"/>
  <c r="Q121" i="36"/>
  <c r="Q131" i="36"/>
  <c r="Q138" i="36"/>
  <c r="Q135" i="36"/>
  <c r="Q134" i="36"/>
  <c r="Q126" i="36"/>
  <c r="Q127" i="36"/>
  <c r="Q133" i="36"/>
  <c r="HY28" i="1"/>
  <c r="HZ28" i="1" s="1"/>
  <c r="F19" i="27"/>
  <c r="F18" i="27"/>
  <c r="Q132" i="36"/>
  <c r="F17" i="27"/>
  <c r="Q117" i="36"/>
  <c r="Q108" i="36"/>
  <c r="Q105" i="36"/>
  <c r="Q114" i="36"/>
  <c r="Q111" i="36"/>
  <c r="Q123" i="36"/>
  <c r="Q125" i="36"/>
  <c r="Q137" i="36"/>
  <c r="F20" i="55"/>
  <c r="Q139" i="36"/>
  <c r="Q130" i="36"/>
  <c r="F21" i="35"/>
  <c r="Q120" i="36"/>
  <c r="Q128" i="36"/>
  <c r="Q110" i="36"/>
  <c r="Q104" i="36"/>
  <c r="HY27" i="1"/>
  <c r="HZ27" i="1" s="1"/>
  <c r="H49" i="65"/>
  <c r="H712" i="65"/>
  <c r="H692" i="65"/>
  <c r="H260" i="65"/>
  <c r="H602" i="65"/>
  <c r="H642" i="65"/>
  <c r="I341" i="65"/>
  <c r="H672" i="65"/>
  <c r="H159" i="65"/>
  <c r="H69" i="65"/>
  <c r="I169" i="65"/>
  <c r="H59" i="65"/>
  <c r="H320" i="65"/>
  <c r="I290" i="65"/>
  <c r="I229" i="65"/>
  <c r="I682" i="65"/>
  <c r="I129" i="65"/>
  <c r="H572" i="65"/>
  <c r="I270" i="65"/>
  <c r="H280" i="65"/>
  <c r="I320" i="65"/>
  <c r="I59" i="65"/>
  <c r="H79" i="65"/>
  <c r="I69" i="65"/>
  <c r="H742" i="65"/>
  <c r="I732" i="65"/>
  <c r="H732" i="65"/>
  <c r="I722" i="65"/>
  <c r="I522" i="65"/>
  <c r="H532" i="65"/>
  <c r="H522" i="65"/>
  <c r="I512" i="65"/>
  <c r="H442" i="65"/>
  <c r="H129" i="65"/>
  <c r="I79" i="65"/>
  <c r="H330" i="65"/>
  <c r="H682" i="65"/>
  <c r="I452" i="65"/>
  <c r="I442" i="65"/>
  <c r="H452" i="65"/>
  <c r="I532" i="65"/>
  <c r="H542" i="65"/>
  <c r="I642" i="65"/>
  <c r="I652" i="65"/>
  <c r="I331" i="65"/>
  <c r="H351" i="65"/>
  <c r="H341" i="65"/>
  <c r="H270" i="65"/>
  <c r="I260" i="65"/>
  <c r="H89" i="65"/>
  <c r="H29" i="65"/>
  <c r="H39" i="65"/>
  <c r="I29" i="65"/>
  <c r="I502" i="65"/>
  <c r="H512" i="65"/>
  <c r="I310" i="65"/>
  <c r="I361" i="65"/>
  <c r="I39" i="65"/>
  <c r="I159" i="65"/>
  <c r="I672" i="65"/>
  <c r="H662" i="65"/>
  <c r="H722" i="65"/>
  <c r="H502" i="65"/>
  <c r="I351" i="65"/>
  <c r="H361" i="65"/>
  <c r="H401" i="65"/>
  <c r="I391" i="65"/>
  <c r="I602" i="65"/>
  <c r="H229" i="65"/>
  <c r="H219" i="65"/>
  <c r="I219" i="65"/>
  <c r="I280" i="65"/>
  <c r="H290" i="65"/>
  <c r="I542" i="65"/>
  <c r="I99" i="65"/>
  <c r="H109" i="65"/>
  <c r="H99" i="65"/>
  <c r="I422" i="65"/>
  <c r="H432" i="65"/>
  <c r="H199" i="65"/>
  <c r="I189" i="65"/>
  <c r="H492" i="65"/>
  <c r="H482" i="65"/>
  <c r="I482" i="65"/>
  <c r="H209" i="65"/>
  <c r="I199" i="65"/>
  <c r="I19" i="65"/>
  <c r="H19" i="65"/>
  <c r="I432" i="65"/>
  <c r="I139" i="65"/>
  <c r="H139" i="65"/>
  <c r="I149" i="65"/>
  <c r="H149" i="65"/>
  <c r="H472" i="65"/>
  <c r="H462" i="65"/>
  <c r="I462" i="65"/>
  <c r="H622" i="65"/>
  <c r="H612" i="65"/>
  <c r="I612" i="65"/>
  <c r="I582" i="65"/>
  <c r="I592" i="65"/>
  <c r="H592" i="65"/>
  <c r="I411" i="65"/>
  <c r="H422" i="65"/>
  <c r="H411" i="65"/>
  <c r="I249" i="65"/>
  <c r="I239" i="65"/>
  <c r="H239" i="65"/>
  <c r="H249" i="65"/>
  <c r="I179" i="65"/>
  <c r="H179" i="65"/>
  <c r="H189" i="65"/>
  <c r="I209" i="65"/>
  <c r="H310" i="65"/>
  <c r="H300" i="65"/>
  <c r="I300" i="65"/>
  <c r="I371" i="65"/>
  <c r="H371" i="65"/>
  <c r="H381" i="65"/>
  <c r="H552" i="65"/>
  <c r="I552" i="65"/>
  <c r="H562" i="65"/>
  <c r="H702" i="65"/>
  <c r="I702" i="65"/>
  <c r="I692" i="65"/>
  <c r="H119" i="65"/>
  <c r="I119" i="65"/>
  <c r="I109" i="65"/>
  <c r="H632" i="65"/>
  <c r="I632" i="65"/>
  <c r="I622" i="65"/>
  <c r="I492" i="65"/>
  <c r="I472" i="65"/>
  <c r="GX10" i="1" l="1"/>
  <c r="GY1" i="1"/>
  <c r="F20" i="27"/>
  <c r="F21" i="28"/>
  <c r="F21" i="62"/>
  <c r="F21" i="42"/>
  <c r="K11" i="13"/>
  <c r="GZ1" i="1" l="1"/>
  <c r="GY10" i="1"/>
  <c r="HA1" i="1" l="1"/>
  <c r="GZ10" i="1"/>
  <c r="HB1" i="1" l="1"/>
  <c r="HA10" i="1"/>
  <c r="HC1" i="1" l="1"/>
  <c r="HB10" i="1"/>
  <c r="HD1" i="1" l="1"/>
  <c r="HC10" i="1"/>
  <c r="HE1" i="1" l="1"/>
  <c r="HD10" i="1"/>
  <c r="HF1" i="1" l="1"/>
  <c r="HE10" i="1"/>
  <c r="HG1" i="1" l="1"/>
  <c r="HF10" i="1"/>
  <c r="HH1" i="1" l="1"/>
  <c r="HG10" i="1"/>
  <c r="HI1" i="1" l="1"/>
  <c r="HI10" i="1" s="1"/>
  <c r="HH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GG2" authorId="0" shapeId="0" xr:uid="{AF02BD81-80E1-4505-A50C-2BA1CA506C94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Includes $103,338.86 of historical debt from Glenelg Water properties that were written back into the billing system D2008/02002.</t>
        </r>
      </text>
    </comment>
    <comment ref="FQ7" authorId="0" shapeId="0" xr:uid="{4C21CC33-9293-4EB4-B014-A946E3D672B1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Parks Victoria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51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52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53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54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55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56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57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58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59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5A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16" authorId="0" shapeId="0" xr:uid="{00000000-0006-0000-49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5B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5C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Robyn Phillips</author>
    <author>Steven Kearns</author>
  </authors>
  <commentList>
    <comment ref="F9" authorId="0" shapeId="0" xr:uid="{00000000-0006-0000-5D00-000001000000}">
      <text>
        <r>
          <rPr>
            <b/>
            <sz val="9"/>
            <color indexed="81"/>
            <rFont val="Tahoma"/>
            <family val="2"/>
          </rPr>
          <t>Robyn Phillips:</t>
        </r>
        <r>
          <rPr>
            <sz val="9"/>
            <color indexed="81"/>
            <rFont val="Tahoma"/>
            <family val="2"/>
          </rPr>
          <t xml:space="preserve">
Framlingham removed $192,500.
Balance is Rentiers Farm Land</t>
        </r>
      </text>
    </comment>
    <comment ref="F22" authorId="1" shapeId="0" xr:uid="{00000000-0006-0000-5D00-000002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Robyn Phillips</author>
    <author>Steven Kearns</author>
  </authors>
  <commentList>
    <comment ref="E9" authorId="0" shapeId="0" xr:uid="{00000000-0006-0000-5E00-000001000000}">
      <text>
        <r>
          <rPr>
            <b/>
            <sz val="9"/>
            <color indexed="81"/>
            <rFont val="Tahoma"/>
            <family val="2"/>
          </rPr>
          <t>Robyn Phillips:</t>
        </r>
        <r>
          <rPr>
            <sz val="9"/>
            <color indexed="81"/>
            <rFont val="Tahoma"/>
            <family val="2"/>
          </rPr>
          <t xml:space="preserve">
Rentiers farm land dispute</t>
        </r>
      </text>
    </comment>
    <comment ref="F9" authorId="0" shapeId="0" xr:uid="{00000000-0006-0000-5E00-000002000000}">
      <text>
        <r>
          <rPr>
            <b/>
            <sz val="9"/>
            <color indexed="81"/>
            <rFont val="Tahoma"/>
            <family val="2"/>
          </rPr>
          <t>Robyn Phillips:</t>
        </r>
        <r>
          <rPr>
            <sz val="9"/>
            <color indexed="81"/>
            <rFont val="Tahoma"/>
            <family val="2"/>
          </rPr>
          <t xml:space="preserve">
Framlingham removed $192,500</t>
        </r>
      </text>
    </comment>
    <comment ref="F22" authorId="1" shapeId="0" xr:uid="{00000000-0006-0000-5E00-000003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Robyn Phillips</author>
    <author>Steven Kearns</author>
  </authors>
  <commentList>
    <comment ref="D9" authorId="0" shapeId="0" xr:uid="{00000000-0006-0000-5F00-000001000000}">
      <text>
        <r>
          <rPr>
            <b/>
            <sz val="9"/>
            <color indexed="81"/>
            <rFont val="Tahoma"/>
            <family val="2"/>
          </rPr>
          <t>Robyn Phillips:</t>
        </r>
        <r>
          <rPr>
            <sz val="9"/>
            <color indexed="81"/>
            <rFont val="Tahoma"/>
            <family val="2"/>
          </rPr>
          <t xml:space="preserve">
$41,141 Rentiers land lease under dispute</t>
        </r>
      </text>
    </comment>
    <comment ref="E9" authorId="0" shapeId="0" xr:uid="{00000000-0006-0000-5F00-000002000000}">
      <text>
        <r>
          <rPr>
            <b/>
            <sz val="9"/>
            <color indexed="81"/>
            <rFont val="Tahoma"/>
            <family val="2"/>
          </rPr>
          <t>Robyn Phillips:</t>
        </r>
        <r>
          <rPr>
            <sz val="9"/>
            <color indexed="81"/>
            <rFont val="Tahoma"/>
            <family val="2"/>
          </rPr>
          <t xml:space="preserve">
Framlingham removed $192,500</t>
        </r>
      </text>
    </comment>
    <comment ref="F22" authorId="1" shapeId="0" xr:uid="{00000000-0006-0000-5F00-000003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D9" authorId="0" shapeId="0" xr:uid="{00000000-0006-0000-60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Framlingham removed $192,500</t>
        </r>
      </text>
    </comment>
    <comment ref="F21" authorId="0" shapeId="0" xr:uid="{00000000-0006-0000-6000-000002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1" authorId="0" shapeId="0" xr:uid="{00000000-0006-0000-61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1" authorId="0" shapeId="0" xr:uid="{00000000-0006-0000-62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1" authorId="0" shapeId="0" xr:uid="{00000000-0006-0000-63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1" authorId="0" shapeId="0" xr:uid="{00000000-0006-0000-64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16" authorId="0" shapeId="0" xr:uid="{00000000-0006-0000-4A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1" authorId="0" shapeId="0" xr:uid="{00000000-0006-0000-65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1" authorId="0" shapeId="0" xr:uid="{00000000-0006-0000-66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1" authorId="0" shapeId="0" xr:uid="{00000000-0006-0000-67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68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69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6A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6B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6C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16" authorId="0" shapeId="0" xr:uid="{00000000-0006-0000-4B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16" authorId="0" shapeId="0" xr:uid="{00000000-0006-0000-4C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16" authorId="0" shapeId="0" xr:uid="{00000000-0006-0000-4D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16" authorId="0" shapeId="0" xr:uid="{00000000-0006-0000-4E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4F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F22" authorId="0" shapeId="0" xr:uid="{00000000-0006-0000-50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Property browser- search by account
Status = A
Inv. Class = Hardship Program</t>
        </r>
      </text>
    </comment>
  </commentList>
</comments>
</file>

<file path=xl/sharedStrings.xml><?xml version="1.0" encoding="utf-8"?>
<sst xmlns="http://schemas.openxmlformats.org/spreadsheetml/2006/main" count="20351" uniqueCount="441">
  <si>
    <t>Owners</t>
  </si>
  <si>
    <t>Tenants</t>
  </si>
  <si>
    <t>Sundry</t>
  </si>
  <si>
    <t>Scheme</t>
  </si>
  <si>
    <t>Debtor Type</t>
  </si>
  <si>
    <t>Amount Overdue</t>
  </si>
  <si>
    <t>Number of Customers</t>
  </si>
  <si>
    <t>60-90 Days</t>
  </si>
  <si>
    <t>90+ Days</t>
  </si>
  <si>
    <t>Total</t>
  </si>
  <si>
    <t>Total Var on Last Month</t>
  </si>
  <si>
    <t>Tariff Debtors</t>
  </si>
  <si>
    <t>     - Residential</t>
  </si>
  <si>
    <t>     - Non-residential</t>
  </si>
  <si>
    <t>     - Rural</t>
  </si>
  <si>
    <t>     - Tenants</t>
  </si>
  <si>
    <t xml:space="preserve">    </t>
  </si>
  <si>
    <t>SUB-TOTAL</t>
  </si>
  <si>
    <t>Schemes</t>
  </si>
  <si>
    <t xml:space="preserve"> 60 - 90 </t>
  </si>
  <si>
    <t xml:space="preserve">90 + </t>
  </si>
  <si>
    <t xml:space="preserve"> </t>
  </si>
  <si>
    <t>-</t>
  </si>
  <si>
    <t xml:space="preserve">     - Residential</t>
  </si>
  <si>
    <t xml:space="preserve">     - Non-residential</t>
  </si>
  <si>
    <t xml:space="preserve">     - Rural</t>
  </si>
  <si>
    <t xml:space="preserve">     - Tenants</t>
  </si>
  <si>
    <t xml:space="preserve">    </t>
  </si>
  <si>
    <t> 5,101</t>
  </si>
  <si>
    <t>Private Agreements</t>
  </si>
  <si>
    <t>URGS</t>
  </si>
  <si>
    <t>UWLR</t>
  </si>
  <si>
    <t>Year</t>
  </si>
  <si>
    <t>Acct Debtor Type</t>
  </si>
  <si>
    <t>90 Days</t>
  </si>
  <si>
    <t>120 Days</t>
  </si>
  <si>
    <t>120 + Days</t>
  </si>
  <si>
    <t>2009-10</t>
  </si>
  <si>
    <t>Owner</t>
  </si>
  <si>
    <t>Tenant</t>
  </si>
  <si>
    <t>Acct Type</t>
  </si>
  <si>
    <t>Water</t>
  </si>
  <si>
    <t>Payment Arrangement</t>
  </si>
  <si>
    <t>Arrears &amp; Current</t>
  </si>
  <si>
    <t>Australian Receivables Limited</t>
  </si>
  <si>
    <t>Centrepay</t>
  </si>
  <si>
    <t>Direct Debit</t>
  </si>
  <si>
    <t>Estate/Legal</t>
  </si>
  <si>
    <t>Hardship Policy</t>
  </si>
  <si>
    <t>Large Monthly Customer</t>
  </si>
  <si>
    <t>Special Arrangement</t>
  </si>
  <si>
    <t>Debt Stream</t>
  </si>
  <si>
    <t>Legal</t>
  </si>
  <si>
    <t>No Action</t>
  </si>
  <si>
    <t>Personal Contact</t>
  </si>
  <si>
    <t>Restriction</t>
  </si>
  <si>
    <t>Solicitor Letter</t>
  </si>
  <si>
    <t>Debt Stage</t>
  </si>
  <si>
    <t>Attachment of Earnings</t>
  </si>
  <si>
    <t>Sent to Australian Receivables Ltd</t>
  </si>
  <si>
    <t>Complaint</t>
  </si>
  <si>
    <t>Insignificant Amount</t>
  </si>
  <si>
    <t>Judgement</t>
  </si>
  <si>
    <t>Letter Sent</t>
  </si>
  <si>
    <t>Next Account</t>
  </si>
  <si>
    <t>Payment Arrangement Made</t>
  </si>
  <si>
    <t>Restricted</t>
  </si>
  <si>
    <t>Restriction Approved</t>
  </si>
  <si>
    <t>Restriction Date Letter</t>
  </si>
  <si>
    <t>Restriction List for approval</t>
  </si>
  <si>
    <t>Rental Owner - Owner</t>
  </si>
  <si>
    <t>Summons for Oral Examination</t>
  </si>
  <si>
    <t>Under Review</t>
  </si>
  <si>
    <t>Select by Trial Balance</t>
  </si>
  <si>
    <t>Show values by: "Acct Debt Type" and "Account Type"</t>
  </si>
  <si>
    <t>Trial Balance Options: "Aeging"</t>
  </si>
  <si>
    <t>Display Options: "90 Days" "120 Days" and "120+ Days"</t>
  </si>
  <si>
    <t>TOTAL DEBT 60+ DEBTS OVERDUE</t>
  </si>
  <si>
    <t>Pursued Internally</t>
  </si>
  <si>
    <t>Type</t>
  </si>
  <si>
    <t>Amount</t>
  </si>
  <si>
    <t>Legal Action</t>
  </si>
  <si>
    <t>PAYMENT ARRANGEMENTS, PURSUED INTERNALLY AND LEGAL</t>
  </si>
  <si>
    <t>Show values by: "Payment Arrangement", "Debt Stream" and "Debt Stage"</t>
  </si>
  <si>
    <t>Payment arrangement</t>
  </si>
  <si>
    <t>Pursued internally</t>
  </si>
  <si>
    <t>Payment Made (Debt Cleared)</t>
  </si>
  <si>
    <t>Personal Contact Phone</t>
  </si>
  <si>
    <t>Registered Mail</t>
  </si>
  <si>
    <t>Payment Arrangement Made within 3 days</t>
  </si>
  <si>
    <t>Registered Mail - **Not in Use**</t>
  </si>
  <si>
    <t>ARL Solicitor Letter of Demand</t>
  </si>
  <si>
    <t>Trial Balance Options: "Ageing"</t>
  </si>
  <si>
    <t>2010-11</t>
  </si>
  <si>
    <t>Sundry Debtors - see Sorana (obtained from Finance)</t>
  </si>
  <si>
    <t>ARL Letter of Demand</t>
  </si>
  <si>
    <t>Restrictor removed at day 28</t>
  </si>
  <si>
    <t>2005/06</t>
  </si>
  <si>
    <t>2006/07</t>
  </si>
  <si>
    <t>2007/08</t>
  </si>
  <si>
    <t>2008/09</t>
  </si>
  <si>
    <t>2009/10</t>
  </si>
  <si>
    <t>2010/11</t>
  </si>
  <si>
    <t>120+ Days</t>
  </si>
  <si>
    <t>Personal Contact List</t>
  </si>
  <si>
    <t>Disputed Account</t>
  </si>
  <si>
    <t>Utility Relief Grant</t>
  </si>
  <si>
    <t>Undetectable Water Leak Rebate</t>
  </si>
  <si>
    <t>Payment Arrangements</t>
  </si>
  <si>
    <t>P/A</t>
  </si>
  <si>
    <t>Internal</t>
  </si>
  <si>
    <t xml:space="preserve">Internal </t>
  </si>
  <si>
    <t>(813,390 Aquarate)</t>
  </si>
  <si>
    <t>($777,735 Aquarate)</t>
  </si>
  <si>
    <t>* Aquarate debt only</t>
  </si>
  <si>
    <t>($812,062 Aquarate)</t>
  </si>
  <si>
    <t>($862,859 Aquarate)</t>
  </si>
  <si>
    <t>Sherriff</t>
  </si>
  <si>
    <t>($801,045 Aquarate)</t>
  </si>
  <si>
    <t>High Water Usage Allowance</t>
  </si>
  <si>
    <t>Alistair Woods Plumbing</t>
  </si>
  <si>
    <t>Clinton, Andrew</t>
  </si>
  <si>
    <t>Dennis Family Homes</t>
  </si>
  <si>
    <t>Fulton Hogan Industries Pty Ltd</t>
  </si>
  <si>
    <t>Heath Cameron</t>
  </si>
  <si>
    <t>Land &amp; Property Transfer (Footscray)</t>
  </si>
  <si>
    <t>Les E Fox &amp; Bruce Hill</t>
  </si>
  <si>
    <t>Luke Palmer</t>
  </si>
  <si>
    <t>Neville Groves Plumbing</t>
  </si>
  <si>
    <t>Robert J Marsh, Solicitor</t>
  </si>
  <si>
    <t>Simon Allan Plumbing</t>
  </si>
  <si>
    <t>Walsh, P J &amp; L M</t>
  </si>
  <si>
    <t>Warrnambool City Council</t>
  </si>
  <si>
    <t>Whiteside, G D &amp; M C</t>
  </si>
  <si>
    <t>Name</t>
  </si>
  <si>
    <t>legal</t>
  </si>
  <si>
    <t>0081</t>
  </si>
  <si>
    <t>0268</t>
  </si>
  <si>
    <t>0882</t>
  </si>
  <si>
    <t>1419</t>
  </si>
  <si>
    <t>1483</t>
  </si>
  <si>
    <t>Hetherington, Scott</t>
  </si>
  <si>
    <t>1538</t>
  </si>
  <si>
    <t>2130</t>
  </si>
  <si>
    <t>Simon Tolland</t>
  </si>
  <si>
    <t>2146</t>
  </si>
  <si>
    <t>Glaxo Smith Kline Australia Pty Ltd</t>
  </si>
  <si>
    <t>2159</t>
  </si>
  <si>
    <t>2202</t>
  </si>
  <si>
    <t>Chris Sinnott</t>
  </si>
  <si>
    <t>2246</t>
  </si>
  <si>
    <t>Ausmilk Producers P/L</t>
  </si>
  <si>
    <t>2268</t>
  </si>
  <si>
    <t>Western Liquid Waste</t>
  </si>
  <si>
    <t>2393</t>
  </si>
  <si>
    <t>Linton Hall</t>
  </si>
  <si>
    <t>2427</t>
  </si>
  <si>
    <t>2722</t>
  </si>
  <si>
    <t>2790</t>
  </si>
  <si>
    <t>Boral Resources</t>
  </si>
  <si>
    <t>2792</t>
  </si>
  <si>
    <t>Timothy Holmes</t>
  </si>
  <si>
    <t>2893</t>
  </si>
  <si>
    <t>2938</t>
  </si>
  <si>
    <t>3012</t>
  </si>
  <si>
    <t>Ben Mutton</t>
  </si>
  <si>
    <t>3210</t>
  </si>
  <si>
    <t>3342</t>
  </si>
  <si>
    <t>Robyn Logan</t>
  </si>
  <si>
    <t>3345</t>
  </si>
  <si>
    <t>Tom Emmerton</t>
  </si>
  <si>
    <t>No.</t>
  </si>
  <si>
    <t>3351</t>
  </si>
  <si>
    <t>JG King Projects</t>
  </si>
  <si>
    <t>0678</t>
  </si>
  <si>
    <t>Murfett Plumbing 14601416340</t>
  </si>
  <si>
    <t>3134</t>
  </si>
  <si>
    <t>Iluka Resources Ltd</t>
  </si>
  <si>
    <t>ARL</t>
  </si>
  <si>
    <t>Restriction Pending Letter</t>
  </si>
  <si>
    <t>2011-12</t>
  </si>
  <si>
    <t>***Letter Sent - not used***</t>
  </si>
  <si>
    <t>Restriction Pending Registered Mail Letter</t>
  </si>
  <si>
    <t>Site Visit</t>
  </si>
  <si>
    <t>Category</t>
  </si>
  <si>
    <t>%</t>
  </si>
  <si>
    <t>TOTAL DEBT SUBJECT TO COLLECTION ACTION</t>
  </si>
  <si>
    <t>2150</t>
  </si>
  <si>
    <t>Moyne Shire Council</t>
  </si>
  <si>
    <t>2778</t>
  </si>
  <si>
    <t>Southern Grampians Plumbing</t>
  </si>
  <si>
    <t>2459</t>
  </si>
  <si>
    <t>CJ Farrell Plumbing</t>
  </si>
  <si>
    <t>3343</t>
  </si>
  <si>
    <t>Rentier Machinery T/A Yaloak Estate</t>
  </si>
  <si>
    <t>Barbro</t>
  </si>
  <si>
    <t>Anderson</t>
  </si>
  <si>
    <t>Sutherland</t>
  </si>
  <si>
    <t>Humphries</t>
  </si>
  <si>
    <t>1481</t>
  </si>
  <si>
    <t>Landata</t>
  </si>
  <si>
    <t>2977</t>
  </si>
  <si>
    <t>Douglas Evans</t>
  </si>
  <si>
    <t>2988</t>
  </si>
  <si>
    <t>Barclay &amp; Foster Plumbing</t>
  </si>
  <si>
    <t>3182</t>
  </si>
  <si>
    <t>Matthew King</t>
  </si>
  <si>
    <t>3229</t>
  </si>
  <si>
    <t>Jackson Swanborough</t>
  </si>
  <si>
    <t>Administrators Appointed/ Bankruptcy</t>
  </si>
  <si>
    <t>Legal Proceedings Commenced</t>
  </si>
  <si>
    <t>0686</t>
  </si>
  <si>
    <t>Commonwealth Bank Group Finance &amp; Accoun ting</t>
  </si>
  <si>
    <t>3253</t>
  </si>
  <si>
    <t>Mid Murray Fire Protection</t>
  </si>
  <si>
    <t>2231</t>
  </si>
  <si>
    <t>B Causer T/A Eco Pure Waste Management Systems</t>
  </si>
  <si>
    <t>1592</t>
  </si>
  <si>
    <t>Premier Plumbing Service</t>
  </si>
  <si>
    <t>3038</t>
  </si>
  <si>
    <t>Vic Roads ( Geelong)</t>
  </si>
  <si>
    <t>0614</t>
  </si>
  <si>
    <t>3374</t>
  </si>
  <si>
    <t>Luke Sandri</t>
  </si>
  <si>
    <t>2870</t>
  </si>
  <si>
    <t>Ashley Sinnott</t>
  </si>
  <si>
    <t>2392</t>
  </si>
  <si>
    <t>Lisa Baldock</t>
  </si>
  <si>
    <t>2690</t>
  </si>
  <si>
    <t>Nigel Simmonds</t>
  </si>
  <si>
    <t>2793</t>
  </si>
  <si>
    <t>Scott Lane</t>
  </si>
  <si>
    <t>0029</t>
  </si>
  <si>
    <t>Crichton Plumbing Services</t>
  </si>
  <si>
    <t>2557</t>
  </si>
  <si>
    <t>Matt Sinnott</t>
  </si>
  <si>
    <t>2558</t>
  </si>
  <si>
    <t>Paul English</t>
  </si>
  <si>
    <t>1715</t>
  </si>
  <si>
    <t>Leanne McDonald</t>
  </si>
  <si>
    <t>Medium Term Review</t>
  </si>
  <si>
    <t>2966</t>
  </si>
  <si>
    <t>Ben Pohlner</t>
  </si>
  <si>
    <t>0791</t>
  </si>
  <si>
    <t>Sporn's Plumbing</t>
  </si>
  <si>
    <t>0178</t>
  </si>
  <si>
    <t>Taits Legal</t>
  </si>
  <si>
    <t>0255</t>
  </si>
  <si>
    <t>Scriven, Glen A</t>
  </si>
  <si>
    <t>2739</t>
  </si>
  <si>
    <t>Gary McLay</t>
  </si>
  <si>
    <t>Confirmed with Sharyn that $46,488.80 in 60 days has been cleared</t>
  </si>
  <si>
    <t>Confirmed with Sharyn that $8014.27 in 60 days has been cleared</t>
  </si>
  <si>
    <t>On hold</t>
  </si>
  <si>
    <t>On-hold</t>
  </si>
  <si>
    <t>Internal action</t>
  </si>
  <si>
    <t>2812</t>
  </si>
  <si>
    <t>Telstra Corporation Limited</t>
  </si>
  <si>
    <t>2559</t>
  </si>
  <si>
    <t>Brad Henderson</t>
  </si>
  <si>
    <t>3044</t>
  </si>
  <si>
    <t>CJ Lawlor Plumbing &amp; Gasfitting</t>
  </si>
  <si>
    <t>2124</t>
  </si>
  <si>
    <t>D &amp; J Paroissien</t>
  </si>
  <si>
    <t>3388</t>
  </si>
  <si>
    <t>Zachary Paton</t>
  </si>
  <si>
    <t>0961</t>
  </si>
  <si>
    <t>Department of Sustainability</t>
  </si>
  <si>
    <t>2385</t>
  </si>
  <si>
    <t>Denis Holmes</t>
  </si>
  <si>
    <t>1141</t>
  </si>
  <si>
    <t>Neil Paton</t>
  </si>
  <si>
    <t>3127</t>
  </si>
  <si>
    <t>Origin Energy</t>
  </si>
  <si>
    <t>3073</t>
  </si>
  <si>
    <t>Simon Fleming</t>
  </si>
  <si>
    <t>2203</t>
  </si>
  <si>
    <t>Haydn Everett</t>
  </si>
  <si>
    <t>3389</t>
  </si>
  <si>
    <t>Garth Power</t>
  </si>
  <si>
    <t>1022</t>
  </si>
  <si>
    <t>H J Parfrey &amp; Son Pty Ltd</t>
  </si>
  <si>
    <t>3401</t>
  </si>
  <si>
    <t>David Impey</t>
  </si>
  <si>
    <t>0914</t>
  </si>
  <si>
    <t>Brian O'Shannessy Plumbing</t>
  </si>
  <si>
    <t>1752</t>
  </si>
  <si>
    <t>Win Television VIC Pty Ltd</t>
  </si>
  <si>
    <t>3362</t>
  </si>
  <si>
    <t>Shane Rethus</t>
  </si>
  <si>
    <t>2197</t>
  </si>
  <si>
    <t>Colleen Rose</t>
  </si>
  <si>
    <t>on-hold</t>
  </si>
  <si>
    <t>internal action</t>
  </si>
  <si>
    <t>payment arrangement</t>
  </si>
  <si>
    <t>2551</t>
  </si>
  <si>
    <t>L Davidson &amp; Sons</t>
  </si>
  <si>
    <t>0045</t>
  </si>
  <si>
    <t>Bob McPherson Plumbing Pty Ltd</t>
  </si>
  <si>
    <t>2384</t>
  </si>
  <si>
    <t>Andrew Povey</t>
  </si>
  <si>
    <t>3416</t>
  </si>
  <si>
    <t>Roman Catholic Trusts Corporation</t>
  </si>
  <si>
    <t>0377</t>
  </si>
  <si>
    <t>Southern Victorian Plumbing</t>
  </si>
  <si>
    <t>1821</t>
  </si>
  <si>
    <t>Corangamite Shire Council</t>
  </si>
  <si>
    <t>0369</t>
  </si>
  <si>
    <t>P &amp; B Kavanagh Pty Ltd</t>
  </si>
  <si>
    <t>2443</t>
  </si>
  <si>
    <t>Mick Wilson Plumbing</t>
  </si>
  <si>
    <t>3431</t>
  </si>
  <si>
    <t>Dale Hutchins</t>
  </si>
  <si>
    <t>2301</t>
  </si>
  <si>
    <t>Damien MacDonald Plumbing</t>
  </si>
  <si>
    <t>3432</t>
  </si>
  <si>
    <t>3428</t>
  </si>
  <si>
    <t>Craig Roberts</t>
  </si>
  <si>
    <t>0644</t>
  </si>
  <si>
    <t>Anstat Property Information</t>
  </si>
  <si>
    <t>ON HOLD</t>
  </si>
  <si>
    <t>2011/12</t>
  </si>
  <si>
    <t>Same as Feb, less Les Fox</t>
  </si>
  <si>
    <t>Sundry Debtor</t>
  </si>
  <si>
    <t>90d+</t>
  </si>
  <si>
    <t>Month End</t>
  </si>
  <si>
    <t>% paid</t>
  </si>
  <si>
    <t>90-120d following month</t>
  </si>
  <si>
    <t>60-90d</t>
  </si>
  <si>
    <t>120d+ following month</t>
  </si>
  <si>
    <t>90-120d</t>
  </si>
  <si>
    <t>120d+</t>
  </si>
  <si>
    <t>Estate/ Selling</t>
  </si>
  <si>
    <t>Show values by: "Acct Debtor Type" and "Account Type"</t>
  </si>
  <si>
    <t>Show values by: "Pay Arr. Type", "Debt Stream" and "Debt Stage"</t>
  </si>
  <si>
    <t>Pay Arr. Type</t>
  </si>
  <si>
    <t>Text Message</t>
  </si>
  <si>
    <t>Site Visit - Under Review</t>
  </si>
  <si>
    <t>2012-13</t>
  </si>
  <si>
    <t>Field Call</t>
  </si>
  <si>
    <t>Pursured internally</t>
  </si>
  <si>
    <t>Show values by: "Account Debtor Type" and "Account Type"</t>
  </si>
  <si>
    <t>2012/13</t>
  </si>
  <si>
    <t>Bill Type</t>
  </si>
  <si>
    <t>Pension</t>
  </si>
  <si>
    <t>Non-Residential</t>
  </si>
  <si>
    <t>Health Card</t>
  </si>
  <si>
    <t>Social Security</t>
  </si>
  <si>
    <t>Residential</t>
  </si>
  <si>
    <t>Veteran</t>
  </si>
  <si>
    <t>Rural</t>
  </si>
  <si>
    <t>Major</t>
  </si>
  <si>
    <t>Non-residential</t>
  </si>
  <si>
    <t>2008-09</t>
  </si>
  <si>
    <t>2006-07</t>
  </si>
  <si>
    <t>Legal action</t>
  </si>
  <si>
    <t>Customers in hardship program</t>
  </si>
  <si>
    <t>at 22/3</t>
  </si>
  <si>
    <t>Concession Card Holder - Under Review</t>
  </si>
  <si>
    <t>Show values by: "Billing Type"</t>
  </si>
  <si>
    <t>Planned/ Printed</t>
  </si>
  <si>
    <t>Planned/ Printed 2</t>
  </si>
  <si>
    <t>Planned/ Printed 3</t>
  </si>
  <si>
    <t>1st Site Visit to be arranged</t>
  </si>
  <si>
    <t>2nd Site Visit to be arranged</t>
  </si>
  <si>
    <t>3rd Site Visit to be arranged</t>
  </si>
  <si>
    <t>2013-14</t>
  </si>
  <si>
    <t>Minor Balance Phone Call</t>
  </si>
  <si>
    <t>Call Customer</t>
  </si>
  <si>
    <t>Arrangement</t>
  </si>
  <si>
    <t>2013/14</t>
  </si>
  <si>
    <t>Review</t>
  </si>
  <si>
    <t>Rob - red text to be updated</t>
  </si>
  <si>
    <t>arrangement</t>
  </si>
  <si>
    <t>2014/15</t>
  </si>
  <si>
    <t>2014-15</t>
  </si>
  <si>
    <t>Hold</t>
  </si>
  <si>
    <t>on hold</t>
  </si>
  <si>
    <t>internal</t>
  </si>
  <si>
    <t>legal action</t>
  </si>
  <si>
    <t>hold</t>
  </si>
  <si>
    <t>**Not used - Estate/ Selling'</t>
  </si>
  <si>
    <t>Parked Debt</t>
  </si>
  <si>
    <t>Administrators Appointed / Bankrupt</t>
  </si>
  <si>
    <t>Estate / Selling</t>
  </si>
  <si>
    <t>2015/16</t>
  </si>
  <si>
    <t>2015-16</t>
  </si>
  <si>
    <t>Total debt</t>
  </si>
  <si>
    <t>RURAL: TOTAL DEBT 60+ DEBTS OVERDUE</t>
  </si>
  <si>
    <t>sundry</t>
  </si>
  <si>
    <t>major</t>
  </si>
  <si>
    <t>non-residential</t>
  </si>
  <si>
    <t>residential owner</t>
  </si>
  <si>
    <t>residential tenant</t>
  </si>
  <si>
    <t>rural owner</t>
  </si>
  <si>
    <t>rural tenant</t>
  </si>
  <si>
    <t>2016-17</t>
  </si>
  <si>
    <t>2017-18</t>
  </si>
  <si>
    <t>2016/17</t>
  </si>
  <si>
    <t>2017/18</t>
  </si>
  <si>
    <t>2018-19</t>
  </si>
  <si>
    <t>Parked debt</t>
  </si>
  <si>
    <t>Active debt</t>
  </si>
  <si>
    <t>PARKED DEBT: TOTAL DEBT 60+ DEBTS OVERDUE</t>
  </si>
  <si>
    <t>Show values by: "Debt Stream"</t>
  </si>
  <si>
    <t>2018/19</t>
  </si>
  <si>
    <t>Revenue</t>
  </si>
  <si>
    <t>Debt</t>
  </si>
  <si>
    <t>Ratio</t>
  </si>
  <si>
    <t>2019-20</t>
  </si>
  <si>
    <t>Monthly change</t>
  </si>
  <si>
    <t>Average monthly change</t>
  </si>
  <si>
    <t>2019/20</t>
  </si>
  <si>
    <t>2020-21</t>
  </si>
  <si>
    <t>2020/21</t>
  </si>
  <si>
    <t>2021-22</t>
  </si>
  <si>
    <t>Property No</t>
  </si>
  <si>
    <t>Property Address / Sundry Debtor</t>
  </si>
  <si>
    <t>Account No</t>
  </si>
  <si>
    <t>52-0337-0450</t>
  </si>
  <si>
    <t>50 Drummond Street Dennington VIC 3280</t>
  </si>
  <si>
    <t>52-0337-0450-01</t>
  </si>
  <si>
    <t>September</t>
  </si>
  <si>
    <t>Provico</t>
  </si>
  <si>
    <t>Net</t>
  </si>
  <si>
    <t>March</t>
  </si>
  <si>
    <t>Parks</t>
  </si>
  <si>
    <t>Parks Victoria - Portland</t>
  </si>
  <si>
    <t>Change</t>
  </si>
  <si>
    <t>$70679 plus $1245 interest I think</t>
  </si>
  <si>
    <t>83-0236-0100-01 : 1129 Cobden-Terang Rd, Cobrico VIC 3266</t>
  </si>
  <si>
    <t>Large rural water usage</t>
  </si>
  <si>
    <t>Provico advised that they will pay off their debt by 4 x weekly payments in July 2022</t>
  </si>
  <si>
    <t>2021/22</t>
  </si>
  <si>
    <t>2022-23</t>
  </si>
  <si>
    <t>90 res</t>
  </si>
  <si>
    <t>2022/23</t>
  </si>
  <si>
    <t>2023-24</t>
  </si>
  <si>
    <t>2023/24</t>
  </si>
  <si>
    <t>2024-25</t>
  </si>
  <si>
    <t>2024/25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</si>
</sst>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;[Red]\-&quot;$&quot;#,##0"/>
    <numFmt numFmtId="8" formatCode="&quot;$&quot;#,##0.00;[Red]\-&quot;$&quot;#,##0.00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0.0%"/>
    <numFmt numFmtId="166" formatCode="_-* #,##0_-;\-* #,##0_-;_-* &quot;-&quot;??_-;_-@_-"/>
    <numFmt numFmtId="167" formatCode="dd\-mmm\-yy"/>
    <numFmt numFmtId="168" formatCode="_-[$$-C09]* #,##0_-;\-[$$-C09]* #,##0_-;_-[$$-C09]* &quot;-&quot;??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Gill Sans MT"/>
      <family val="2"/>
    </font>
    <font>
      <sz val="8"/>
      <name val="Gill Sans MT"/>
      <family val="2"/>
    </font>
    <font>
      <b/>
      <sz val="22"/>
      <name val="Gill Sans MT"/>
      <family val="2"/>
    </font>
    <font>
      <sz val="10"/>
      <name val="Arial"/>
      <family val="2"/>
    </font>
    <font>
      <b/>
      <sz val="10"/>
      <name val="Gill Sans MT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i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63377788628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17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21" fillId="0" borderId="0"/>
    <xf numFmtId="0" fontId="7" fillId="0" borderId="0"/>
    <xf numFmtId="0" fontId="22" fillId="0" borderId="0"/>
    <xf numFmtId="0" fontId="4" fillId="0" borderId="0"/>
    <xf numFmtId="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540">
    <xf numFmtId="0" fontId="0" fillId="0" borderId="0" xfId="0"/>
    <xf numFmtId="17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/>
    <xf numFmtId="0" fontId="4" fillId="0" borderId="0" xfId="12"/>
    <xf numFmtId="0" fontId="2" fillId="2" borderId="1" xfId="12" applyFont="1" applyFill="1" applyBorder="1" applyAlignment="1">
      <alignment horizontal="center"/>
    </xf>
    <xf numFmtId="0" fontId="2" fillId="2" borderId="1" xfId="12" applyFont="1" applyFill="1" applyBorder="1" applyAlignment="1">
      <alignment horizontal="center" wrapText="1"/>
    </xf>
    <xf numFmtId="0" fontId="2" fillId="0" borderId="0" xfId="12" applyFont="1" applyAlignment="1">
      <alignment horizontal="center" wrapText="1"/>
    </xf>
    <xf numFmtId="0" fontId="7" fillId="0" borderId="1" xfId="12" applyFont="1" applyBorder="1"/>
    <xf numFmtId="0" fontId="7" fillId="0" borderId="1" xfId="12" applyFont="1" applyBorder="1" applyAlignment="1">
      <alignment horizontal="right"/>
    </xf>
    <xf numFmtId="0" fontId="7" fillId="0" borderId="1" xfId="12" applyFont="1" applyBorder="1" applyAlignment="1">
      <alignment wrapText="1"/>
    </xf>
    <xf numFmtId="0" fontId="7" fillId="0" borderId="0" xfId="12" applyFont="1" applyAlignment="1">
      <alignment wrapText="1"/>
    </xf>
    <xf numFmtId="166" fontId="7" fillId="0" borderId="1" xfId="1" applyNumberFormat="1" applyFont="1" applyBorder="1" applyAlignment="1">
      <alignment horizontal="right"/>
    </xf>
    <xf numFmtId="3" fontId="7" fillId="0" borderId="1" xfId="12" applyNumberFormat="1" applyFont="1" applyBorder="1" applyAlignment="1">
      <alignment horizontal="right"/>
    </xf>
    <xf numFmtId="0" fontId="7" fillId="0" borderId="1" xfId="12" applyFont="1" applyBorder="1" applyAlignment="1">
      <alignment horizontal="right" wrapText="1"/>
    </xf>
    <xf numFmtId="0" fontId="7" fillId="0" borderId="0" xfId="12" applyFont="1" applyAlignment="1">
      <alignment horizontal="right" wrapText="1"/>
    </xf>
    <xf numFmtId="166" fontId="7" fillId="0" borderId="1" xfId="1" applyNumberFormat="1" applyFont="1" applyBorder="1"/>
    <xf numFmtId="0" fontId="2" fillId="0" borderId="1" xfId="12" applyFont="1" applyBorder="1"/>
    <xf numFmtId="166" fontId="2" fillId="0" borderId="1" xfId="1" applyNumberFormat="1" applyFont="1" applyBorder="1" applyAlignment="1">
      <alignment horizontal="right"/>
    </xf>
    <xf numFmtId="3" fontId="2" fillId="0" borderId="1" xfId="12" applyNumberFormat="1" applyFont="1" applyBorder="1" applyAlignment="1">
      <alignment horizontal="right"/>
    </xf>
    <xf numFmtId="0" fontId="2" fillId="0" borderId="1" xfId="12" applyFont="1" applyBorder="1" applyAlignment="1">
      <alignment horizontal="right" wrapText="1"/>
    </xf>
    <xf numFmtId="3" fontId="2" fillId="0" borderId="1" xfId="12" applyNumberFormat="1" applyFont="1" applyBorder="1" applyAlignment="1">
      <alignment horizontal="right" wrapText="1"/>
    </xf>
    <xf numFmtId="3" fontId="2" fillId="0" borderId="0" xfId="12" applyNumberFormat="1" applyFont="1" applyAlignment="1">
      <alignment horizontal="right" wrapText="1"/>
    </xf>
    <xf numFmtId="0" fontId="4" fillId="0" borderId="1" xfId="12" applyBorder="1"/>
    <xf numFmtId="3" fontId="7" fillId="0" borderId="1" xfId="12" applyNumberFormat="1" applyFont="1" applyBorder="1" applyAlignment="1">
      <alignment horizontal="right" wrapText="1"/>
    </xf>
    <xf numFmtId="3" fontId="7" fillId="0" borderId="0" xfId="12" applyNumberFormat="1" applyFont="1" applyAlignment="1">
      <alignment horizontal="right" wrapText="1"/>
    </xf>
    <xf numFmtId="3" fontId="4" fillId="0" borderId="1" xfId="12" applyNumberFormat="1" applyBorder="1"/>
    <xf numFmtId="165" fontId="4" fillId="0" borderId="1" xfId="13" applyNumberFormat="1" applyFont="1" applyBorder="1"/>
    <xf numFmtId="3" fontId="8" fillId="3" borderId="1" xfId="12" applyNumberFormat="1" applyFont="1" applyFill="1" applyBorder="1"/>
    <xf numFmtId="165" fontId="8" fillId="3" borderId="1" xfId="13" applyNumberFormat="1" applyFont="1" applyFill="1" applyBorder="1"/>
    <xf numFmtId="3" fontId="4" fillId="4" borderId="1" xfId="12" applyNumberFormat="1" applyFill="1" applyBorder="1"/>
    <xf numFmtId="165" fontId="4" fillId="4" borderId="1" xfId="13" applyNumberFormat="1" applyFont="1" applyFill="1" applyBorder="1"/>
    <xf numFmtId="3" fontId="8" fillId="4" borderId="1" xfId="12" applyNumberFormat="1" applyFont="1" applyFill="1" applyBorder="1"/>
    <xf numFmtId="165" fontId="8" fillId="4" borderId="1" xfId="13" applyNumberFormat="1" applyFont="1" applyFill="1" applyBorder="1"/>
    <xf numFmtId="3" fontId="4" fillId="0" borderId="0" xfId="12" applyNumberFormat="1"/>
    <xf numFmtId="166" fontId="7" fillId="0" borderId="1" xfId="1" applyNumberFormat="1" applyFont="1" applyBorder="1" applyAlignment="1">
      <alignment horizontal="right" vertical="top" wrapText="1"/>
    </xf>
    <xf numFmtId="166" fontId="7" fillId="0" borderId="1" xfId="1" applyNumberFormat="1" applyFont="1" applyBorder="1" applyAlignment="1">
      <alignment wrapText="1"/>
    </xf>
    <xf numFmtId="166" fontId="7" fillId="0" borderId="0" xfId="1" applyNumberFormat="1" applyFont="1" applyFill="1" applyBorder="1" applyAlignment="1">
      <alignment wrapText="1"/>
    </xf>
    <xf numFmtId="166" fontId="7" fillId="0" borderId="1" xfId="1" applyNumberFormat="1" applyFont="1" applyBorder="1" applyAlignment="1">
      <alignment horizontal="right" wrapText="1"/>
    </xf>
    <xf numFmtId="166" fontId="7" fillId="0" borderId="0" xfId="1" applyNumberFormat="1" applyFont="1" applyFill="1" applyBorder="1" applyAlignment="1">
      <alignment horizontal="right" wrapText="1"/>
    </xf>
    <xf numFmtId="166" fontId="7" fillId="0" borderId="1" xfId="1" applyNumberFormat="1" applyFont="1" applyBorder="1" applyAlignment="1">
      <alignment vertical="top" wrapText="1"/>
    </xf>
    <xf numFmtId="166" fontId="2" fillId="0" borderId="0" xfId="1" applyNumberFormat="1" applyFont="1" applyFill="1" applyBorder="1" applyAlignment="1">
      <alignment horizontal="right"/>
    </xf>
    <xf numFmtId="0" fontId="2" fillId="2" borderId="2" xfId="12" applyFont="1" applyFill="1" applyBorder="1"/>
    <xf numFmtId="0" fontId="2" fillId="2" borderId="3" xfId="12" applyFont="1" applyFill="1" applyBorder="1"/>
    <xf numFmtId="0" fontId="2" fillId="2" borderId="4" xfId="12" applyFont="1" applyFill="1" applyBorder="1"/>
    <xf numFmtId="0" fontId="2" fillId="2" borderId="5" xfId="12" applyFont="1" applyFill="1" applyBorder="1"/>
    <xf numFmtId="0" fontId="2" fillId="2" borderId="6" xfId="12" applyFont="1" applyFill="1" applyBorder="1"/>
    <xf numFmtId="0" fontId="7" fillId="0" borderId="2" xfId="12" applyFont="1" applyBorder="1"/>
    <xf numFmtId="0" fontId="7" fillId="0" borderId="2" xfId="12" applyFont="1" applyBorder="1" applyAlignment="1">
      <alignment wrapText="1"/>
    </xf>
    <xf numFmtId="0" fontId="7" fillId="0" borderId="4" xfId="12" applyFont="1" applyBorder="1"/>
    <xf numFmtId="0" fontId="2" fillId="0" borderId="4" xfId="12" applyFont="1" applyBorder="1"/>
    <xf numFmtId="6" fontId="0" fillId="0" borderId="0" xfId="0" applyNumberFormat="1"/>
    <xf numFmtId="3" fontId="0" fillId="0" borderId="0" xfId="0" applyNumberFormat="1"/>
    <xf numFmtId="3" fontId="0" fillId="5" borderId="0" xfId="0" applyNumberFormat="1" applyFill="1"/>
    <xf numFmtId="3" fontId="0" fillId="3" borderId="0" xfId="0" applyNumberFormat="1" applyFill="1"/>
    <xf numFmtId="0" fontId="0" fillId="3" borderId="0" xfId="0" applyFill="1"/>
    <xf numFmtId="0" fontId="0" fillId="5" borderId="0" xfId="0" applyFill="1"/>
    <xf numFmtId="0" fontId="7" fillId="0" borderId="0" xfId="0" applyFont="1"/>
    <xf numFmtId="0" fontId="2" fillId="2" borderId="0" xfId="0" applyFont="1" applyFill="1"/>
    <xf numFmtId="0" fontId="0" fillId="2" borderId="0" xfId="0" applyFill="1"/>
    <xf numFmtId="3" fontId="0" fillId="2" borderId="0" xfId="0" applyNumberFormat="1" applyFill="1"/>
    <xf numFmtId="166" fontId="0" fillId="0" borderId="0" xfId="1" applyNumberFormat="1" applyFont="1"/>
    <xf numFmtId="166" fontId="2" fillId="0" borderId="0" xfId="1" applyNumberFormat="1" applyFont="1"/>
    <xf numFmtId="9" fontId="0" fillId="0" borderId="0" xfId="13" applyFont="1" applyAlignment="1">
      <alignment horizontal="center"/>
    </xf>
    <xf numFmtId="165" fontId="0" fillId="0" borderId="0" xfId="13" applyNumberFormat="1" applyFont="1"/>
    <xf numFmtId="166" fontId="0" fillId="0" borderId="7" xfId="1" applyNumberFormat="1" applyFont="1" applyBorder="1"/>
    <xf numFmtId="166" fontId="9" fillId="0" borderId="0" xfId="1" applyNumberFormat="1" applyFont="1" applyBorder="1"/>
    <xf numFmtId="3" fontId="0" fillId="6" borderId="0" xfId="0" applyNumberFormat="1" applyFill="1"/>
    <xf numFmtId="0" fontId="0" fillId="6" borderId="0" xfId="0" applyFill="1"/>
    <xf numFmtId="3" fontId="7" fillId="6" borderId="0" xfId="0" applyNumberFormat="1" applyFont="1" applyFill="1"/>
    <xf numFmtId="166" fontId="1" fillId="0" borderId="0" xfId="1" applyNumberFormat="1"/>
    <xf numFmtId="166" fontId="1" fillId="0" borderId="7" xfId="1" applyNumberFormat="1" applyBorder="1"/>
    <xf numFmtId="9" fontId="1" fillId="0" borderId="0" xfId="13" applyAlignment="1">
      <alignment horizontal="center"/>
    </xf>
    <xf numFmtId="165" fontId="1" fillId="0" borderId="0" xfId="13" applyNumberFormat="1"/>
    <xf numFmtId="166" fontId="9" fillId="7" borderId="0" xfId="1" applyNumberFormat="1" applyFont="1" applyFill="1" applyBorder="1"/>
    <xf numFmtId="166" fontId="10" fillId="7" borderId="0" xfId="1" applyNumberFormat="1" applyFont="1" applyFill="1" applyBorder="1"/>
    <xf numFmtId="0" fontId="2" fillId="8" borderId="0" xfId="0" applyFont="1" applyFill="1"/>
    <xf numFmtId="0" fontId="0" fillId="8" borderId="0" xfId="0" applyFill="1"/>
    <xf numFmtId="3" fontId="0" fillId="8" borderId="0" xfId="0" applyNumberFormat="1" applyFill="1"/>
    <xf numFmtId="166" fontId="7" fillId="0" borderId="0" xfId="1" applyNumberFormat="1" applyFont="1" applyFill="1" applyBorder="1"/>
    <xf numFmtId="0" fontId="0" fillId="9" borderId="0" xfId="0" applyFill="1"/>
    <xf numFmtId="3" fontId="0" fillId="9" borderId="0" xfId="0" applyNumberFormat="1" applyFill="1"/>
    <xf numFmtId="164" fontId="0" fillId="0" borderId="0" xfId="3" applyNumberFormat="1" applyFont="1"/>
    <xf numFmtId="3" fontId="11" fillId="0" borderId="0" xfId="0" applyNumberFormat="1" applyFont="1"/>
    <xf numFmtId="9" fontId="0" fillId="0" borderId="0" xfId="0" applyNumberFormat="1" applyAlignment="1">
      <alignment horizontal="center"/>
    </xf>
    <xf numFmtId="0" fontId="0" fillId="10" borderId="0" xfId="0" applyFill="1"/>
    <xf numFmtId="3" fontId="0" fillId="10" borderId="0" xfId="0" applyNumberFormat="1" applyFill="1"/>
    <xf numFmtId="3" fontId="9" fillId="0" borderId="0" xfId="0" applyNumberFormat="1" applyFont="1"/>
    <xf numFmtId="3" fontId="7" fillId="3" borderId="0" xfId="0" applyNumberFormat="1" applyFont="1" applyFill="1"/>
    <xf numFmtId="0" fontId="7" fillId="10" borderId="0" xfId="0" applyFont="1" applyFill="1"/>
    <xf numFmtId="3" fontId="7" fillId="10" borderId="0" xfId="0" applyNumberFormat="1" applyFont="1" applyFill="1"/>
    <xf numFmtId="0" fontId="7" fillId="5" borderId="0" xfId="0" applyFont="1" applyFill="1"/>
    <xf numFmtId="3" fontId="7" fillId="5" borderId="0" xfId="0" applyNumberFormat="1" applyFont="1" applyFill="1"/>
    <xf numFmtId="164" fontId="2" fillId="0" borderId="8" xfId="3" applyNumberFormat="1" applyFont="1" applyBorder="1"/>
    <xf numFmtId="0" fontId="2" fillId="11" borderId="0" xfId="0" applyFont="1" applyFill="1"/>
    <xf numFmtId="0" fontId="0" fillId="12" borderId="0" xfId="0" applyFill="1"/>
    <xf numFmtId="3" fontId="0" fillId="12" borderId="0" xfId="0" applyNumberFormat="1" applyFill="1"/>
    <xf numFmtId="9" fontId="1" fillId="0" borderId="0" xfId="13" applyFont="1" applyAlignment="1">
      <alignment horizontal="center"/>
    </xf>
    <xf numFmtId="0" fontId="1" fillId="3" borderId="0" xfId="0" applyFont="1" applyFill="1"/>
    <xf numFmtId="164" fontId="1" fillId="0" borderId="0" xfId="3" applyNumberFormat="1"/>
    <xf numFmtId="164" fontId="7" fillId="0" borderId="0" xfId="3" applyNumberFormat="1" applyFont="1" applyFill="1" applyBorder="1"/>
    <xf numFmtId="164" fontId="1" fillId="0" borderId="0" xfId="3" applyNumberFormat="1" applyFont="1"/>
    <xf numFmtId="9" fontId="0" fillId="0" borderId="7" xfId="0" applyNumberFormat="1" applyBorder="1" applyAlignment="1">
      <alignment horizontal="center"/>
    </xf>
    <xf numFmtId="164" fontId="2" fillId="0" borderId="0" xfId="3" applyNumberFormat="1" applyFont="1" applyBorder="1"/>
    <xf numFmtId="0" fontId="0" fillId="4" borderId="0" xfId="0" applyFill="1"/>
    <xf numFmtId="0" fontId="0" fillId="11" borderId="1" xfId="0" applyFill="1" applyBorder="1"/>
    <xf numFmtId="3" fontId="0" fillId="11" borderId="1" xfId="0" applyNumberFormat="1" applyFill="1" applyBorder="1"/>
    <xf numFmtId="0" fontId="7" fillId="11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1" fillId="0" borderId="0" xfId="0" applyFont="1"/>
    <xf numFmtId="0" fontId="0" fillId="13" borderId="0" xfId="0" applyFill="1"/>
    <xf numFmtId="0" fontId="0" fillId="0" borderId="1" xfId="0" applyBorder="1"/>
    <xf numFmtId="3" fontId="0" fillId="0" borderId="1" xfId="0" applyNumberFormat="1" applyBorder="1"/>
    <xf numFmtId="0" fontId="0" fillId="3" borderId="1" xfId="0" applyFill="1" applyBorder="1"/>
    <xf numFmtId="3" fontId="0" fillId="3" borderId="1" xfId="0" applyNumberFormat="1" applyFill="1" applyBorder="1"/>
    <xf numFmtId="0" fontId="0" fillId="13" borderId="1" xfId="0" applyFill="1" applyBorder="1"/>
    <xf numFmtId="3" fontId="0" fillId="13" borderId="1" xfId="0" applyNumberFormat="1" applyFill="1" applyBorder="1"/>
    <xf numFmtId="3" fontId="0" fillId="4" borderId="1" xfId="0" applyNumberFormat="1" applyFill="1" applyBorder="1"/>
    <xf numFmtId="0" fontId="2" fillId="5" borderId="1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7" fillId="2" borderId="12" xfId="0" applyFont="1" applyFill="1" applyBorder="1"/>
    <xf numFmtId="0" fontId="0" fillId="2" borderId="13" xfId="0" applyFill="1" applyBorder="1"/>
    <xf numFmtId="0" fontId="7" fillId="2" borderId="14" xfId="0" applyFont="1" applyFill="1" applyBorder="1"/>
    <xf numFmtId="0" fontId="0" fillId="2" borderId="15" xfId="0" applyFill="1" applyBorder="1"/>
    <xf numFmtId="0" fontId="0" fillId="2" borderId="16" xfId="0" applyFill="1" applyBorder="1"/>
    <xf numFmtId="44" fontId="2" fillId="0" borderId="0" xfId="3" applyFont="1" applyFill="1"/>
    <xf numFmtId="3" fontId="2" fillId="0" borderId="0" xfId="0" applyNumberFormat="1" applyFont="1"/>
    <xf numFmtId="164" fontId="1" fillId="0" borderId="0" xfId="3" applyNumberFormat="1" applyFont="1" applyFill="1"/>
    <xf numFmtId="3" fontId="0" fillId="13" borderId="0" xfId="0" applyNumberFormat="1" applyFill="1"/>
    <xf numFmtId="0" fontId="11" fillId="2" borderId="12" xfId="0" applyFont="1" applyFill="1" applyBorder="1"/>
    <xf numFmtId="0" fontId="11" fillId="2" borderId="0" xfId="0" applyFont="1" applyFill="1"/>
    <xf numFmtId="0" fontId="11" fillId="2" borderId="13" xfId="0" applyFont="1" applyFill="1" applyBorder="1"/>
    <xf numFmtId="0" fontId="11" fillId="2" borderId="14" xfId="0" applyFont="1" applyFill="1" applyBorder="1"/>
    <xf numFmtId="0" fontId="11" fillId="2" borderId="15" xfId="0" applyFont="1" applyFill="1" applyBorder="1"/>
    <xf numFmtId="0" fontId="11" fillId="2" borderId="16" xfId="0" applyFont="1" applyFill="1" applyBorder="1"/>
    <xf numFmtId="44" fontId="2" fillId="0" borderId="0" xfId="3" applyFont="1"/>
    <xf numFmtId="0" fontId="2" fillId="13" borderId="0" xfId="0" applyFont="1" applyFill="1"/>
    <xf numFmtId="44" fontId="2" fillId="13" borderId="0" xfId="3" applyFont="1" applyFill="1"/>
    <xf numFmtId="44" fontId="2" fillId="6" borderId="0" xfId="3" applyFont="1" applyFill="1"/>
    <xf numFmtId="44" fontId="2" fillId="3" borderId="0" xfId="3" applyFont="1" applyFill="1"/>
    <xf numFmtId="0" fontId="2" fillId="3" borderId="0" xfId="0" applyFont="1" applyFill="1"/>
    <xf numFmtId="0" fontId="2" fillId="6" borderId="0" xfId="0" applyFont="1" applyFill="1"/>
    <xf numFmtId="0" fontId="11" fillId="0" borderId="0" xfId="0" applyFont="1"/>
    <xf numFmtId="3" fontId="2" fillId="6" borderId="0" xfId="0" applyNumberFormat="1" applyFont="1" applyFill="1"/>
    <xf numFmtId="164" fontId="2" fillId="8" borderId="8" xfId="3" applyNumberFormat="1" applyFont="1" applyFill="1" applyBorder="1"/>
    <xf numFmtId="0" fontId="11" fillId="8" borderId="0" xfId="0" applyFont="1" applyFill="1"/>
    <xf numFmtId="9" fontId="0" fillId="8" borderId="7" xfId="0" applyNumberFormat="1" applyFill="1" applyBorder="1" applyAlignment="1">
      <alignment horizontal="center"/>
    </xf>
    <xf numFmtId="3" fontId="2" fillId="3" borderId="0" xfId="0" applyNumberFormat="1" applyFont="1" applyFill="1"/>
    <xf numFmtId="3" fontId="2" fillId="13" borderId="0" xfId="0" applyNumberFormat="1" applyFont="1" applyFill="1"/>
    <xf numFmtId="44" fontId="2" fillId="0" borderId="7" xfId="0" applyNumberFormat="1" applyFont="1" applyBorder="1"/>
    <xf numFmtId="0" fontId="2" fillId="5" borderId="0" xfId="0" applyFont="1" applyFill="1"/>
    <xf numFmtId="0" fontId="2" fillId="8" borderId="1" xfId="0" applyFont="1" applyFill="1" applyBorder="1"/>
    <xf numFmtId="0" fontId="2" fillId="13" borderId="9" xfId="0" applyFont="1" applyFill="1" applyBorder="1"/>
    <xf numFmtId="0" fontId="2" fillId="13" borderId="10" xfId="0" applyFont="1" applyFill="1" applyBorder="1"/>
    <xf numFmtId="0" fontId="2" fillId="13" borderId="11" xfId="0" applyFont="1" applyFill="1" applyBorder="1"/>
    <xf numFmtId="0" fontId="0" fillId="5" borderId="1" xfId="0" applyFill="1" applyBorder="1"/>
    <xf numFmtId="3" fontId="0" fillId="5" borderId="1" xfId="0" applyNumberFormat="1" applyFill="1" applyBorder="1"/>
    <xf numFmtId="0" fontId="0" fillId="9" borderId="1" xfId="0" applyFill="1" applyBorder="1"/>
    <xf numFmtId="3" fontId="0" fillId="9" borderId="1" xfId="0" applyNumberFormat="1" applyFill="1" applyBorder="1"/>
    <xf numFmtId="44" fontId="2" fillId="3" borderId="17" xfId="3" applyFont="1" applyFill="1" applyBorder="1"/>
    <xf numFmtId="44" fontId="2" fillId="5" borderId="17" xfId="3" applyFont="1" applyFill="1" applyBorder="1"/>
    <xf numFmtId="44" fontId="2" fillId="9" borderId="17" xfId="3" applyFont="1" applyFill="1" applyBorder="1"/>
    <xf numFmtId="44" fontId="2" fillId="0" borderId="18" xfId="3" applyFont="1" applyFill="1" applyBorder="1"/>
    <xf numFmtId="9" fontId="0" fillId="6" borderId="0" xfId="0" applyNumberFormat="1" applyFill="1" applyAlignment="1">
      <alignment horizontal="center"/>
    </xf>
    <xf numFmtId="0" fontId="1" fillId="14" borderId="1" xfId="0" applyFont="1" applyFill="1" applyBorder="1"/>
    <xf numFmtId="44" fontId="2" fillId="0" borderId="1" xfId="3" applyFont="1" applyFill="1" applyBorder="1"/>
    <xf numFmtId="0" fontId="1" fillId="3" borderId="1" xfId="0" applyFont="1" applyFill="1" applyBorder="1"/>
    <xf numFmtId="3" fontId="1" fillId="3" borderId="1" xfId="0" applyNumberFormat="1" applyFont="1" applyFill="1" applyBorder="1"/>
    <xf numFmtId="0" fontId="0" fillId="15" borderId="1" xfId="0" applyFill="1" applyBorder="1"/>
    <xf numFmtId="3" fontId="0" fillId="15" borderId="1" xfId="0" applyNumberFormat="1" applyFill="1" applyBorder="1"/>
    <xf numFmtId="44" fontId="2" fillId="0" borderId="1" xfId="3" applyFont="1" applyBorder="1"/>
    <xf numFmtId="9" fontId="2" fillId="6" borderId="0" xfId="0" applyNumberFormat="1" applyFont="1" applyFill="1" applyAlignment="1">
      <alignment horizontal="center"/>
    </xf>
    <xf numFmtId="44" fontId="2" fillId="6" borderId="7" xfId="0" applyNumberFormat="1" applyFont="1" applyFill="1" applyBorder="1"/>
    <xf numFmtId="8" fontId="11" fillId="6" borderId="0" xfId="0" applyNumberFormat="1" applyFont="1" applyFill="1"/>
    <xf numFmtId="3" fontId="1" fillId="9" borderId="1" xfId="0" applyNumberFormat="1" applyFont="1" applyFill="1" applyBorder="1"/>
    <xf numFmtId="44" fontId="2" fillId="9" borderId="1" xfId="3" applyFont="1" applyFill="1" applyBorder="1"/>
    <xf numFmtId="164" fontId="1" fillId="7" borderId="0" xfId="3" applyNumberFormat="1" applyFill="1"/>
    <xf numFmtId="0" fontId="1" fillId="9" borderId="1" xfId="0" applyFont="1" applyFill="1" applyBorder="1"/>
    <xf numFmtId="0" fontId="1" fillId="0" borderId="1" xfId="0" applyFont="1" applyBorder="1"/>
    <xf numFmtId="44" fontId="2" fillId="3" borderId="1" xfId="3" applyFont="1" applyFill="1" applyBorder="1"/>
    <xf numFmtId="3" fontId="1" fillId="10" borderId="1" xfId="0" applyNumberFormat="1" applyFont="1" applyFill="1" applyBorder="1"/>
    <xf numFmtId="3" fontId="0" fillId="10" borderId="1" xfId="0" applyNumberFormat="1" applyFill="1" applyBorder="1"/>
    <xf numFmtId="0" fontId="0" fillId="10" borderId="1" xfId="0" applyFill="1" applyBorder="1"/>
    <xf numFmtId="44" fontId="2" fillId="10" borderId="1" xfId="3" applyFont="1" applyFill="1" applyBorder="1"/>
    <xf numFmtId="0" fontId="1" fillId="10" borderId="1" xfId="0" applyFont="1" applyFill="1" applyBorder="1"/>
    <xf numFmtId="164" fontId="1" fillId="0" borderId="0" xfId="3" applyNumberFormat="1" applyFill="1"/>
    <xf numFmtId="3" fontId="0" fillId="8" borderId="1" xfId="0" applyNumberFormat="1" applyFill="1" applyBorder="1"/>
    <xf numFmtId="3" fontId="1" fillId="8" borderId="1" xfId="0" applyNumberFormat="1" applyFont="1" applyFill="1" applyBorder="1"/>
    <xf numFmtId="44" fontId="2" fillId="8" borderId="1" xfId="3" applyFont="1" applyFill="1" applyBorder="1"/>
    <xf numFmtId="0" fontId="2" fillId="14" borderId="1" xfId="0" applyFont="1" applyFill="1" applyBorder="1"/>
    <xf numFmtId="0" fontId="2" fillId="9" borderId="0" xfId="0" applyFont="1" applyFill="1"/>
    <xf numFmtId="0" fontId="2" fillId="10" borderId="0" xfId="0" applyFont="1" applyFill="1"/>
    <xf numFmtId="0" fontId="0" fillId="8" borderId="1" xfId="0" applyFill="1" applyBorder="1"/>
    <xf numFmtId="0" fontId="2" fillId="2" borderId="0" xfId="0" applyFont="1" applyFill="1" applyAlignment="1">
      <alignment horizontal="center"/>
    </xf>
    <xf numFmtId="0" fontId="2" fillId="2" borderId="19" xfId="0" applyFont="1" applyFill="1" applyBorder="1"/>
    <xf numFmtId="0" fontId="0" fillId="2" borderId="19" xfId="0" applyFill="1" applyBorder="1"/>
    <xf numFmtId="0" fontId="2" fillId="2" borderId="19" xfId="0" applyFont="1" applyFill="1" applyBorder="1" applyAlignment="1">
      <alignment horizontal="center"/>
    </xf>
    <xf numFmtId="9" fontId="2" fillId="0" borderId="7" xfId="0" applyNumberFormat="1" applyFont="1" applyBorder="1" applyAlignment="1">
      <alignment horizontal="center"/>
    </xf>
    <xf numFmtId="166" fontId="1" fillId="0" borderId="0" xfId="1" applyNumberFormat="1" applyFill="1"/>
    <xf numFmtId="166" fontId="2" fillId="0" borderId="7" xfId="1" applyNumberFormat="1" applyFont="1" applyFill="1" applyBorder="1"/>
    <xf numFmtId="8" fontId="11" fillId="0" borderId="0" xfId="0" applyNumberFormat="1" applyFont="1"/>
    <xf numFmtId="166" fontId="2" fillId="9" borderId="0" xfId="1" applyNumberFormat="1" applyFont="1" applyFill="1"/>
    <xf numFmtId="166" fontId="2" fillId="10" borderId="0" xfId="1" applyNumberFormat="1" applyFont="1" applyFill="1"/>
    <xf numFmtId="166" fontId="2" fillId="8" borderId="0" xfId="1" applyNumberFormat="1" applyFont="1" applyFill="1"/>
    <xf numFmtId="166" fontId="1" fillId="0" borderId="0" xfId="1" applyNumberFormat="1" applyFont="1" applyFill="1"/>
    <xf numFmtId="3" fontId="2" fillId="9" borderId="0" xfId="0" applyNumberFormat="1" applyFont="1" applyFill="1"/>
    <xf numFmtId="166" fontId="2" fillId="0" borderId="0" xfId="1" applyNumberFormat="1" applyFont="1" applyFill="1"/>
    <xf numFmtId="166" fontId="7" fillId="0" borderId="0" xfId="1" applyNumberFormat="1" applyFont="1" applyFill="1"/>
    <xf numFmtId="9" fontId="7" fillId="0" borderId="0" xfId="13" applyFont="1" applyAlignment="1">
      <alignment horizontal="center"/>
    </xf>
    <xf numFmtId="0" fontId="13" fillId="2" borderId="0" xfId="0" applyFont="1" applyFill="1"/>
    <xf numFmtId="17" fontId="13" fillId="2" borderId="0" xfId="0" applyNumberFormat="1" applyFont="1" applyFill="1"/>
    <xf numFmtId="0" fontId="14" fillId="0" borderId="0" xfId="0" applyFont="1"/>
    <xf numFmtId="4" fontId="15" fillId="0" borderId="0" xfId="0" applyNumberFormat="1" applyFont="1"/>
    <xf numFmtId="0" fontId="16" fillId="0" borderId="0" xfId="0" applyFont="1"/>
    <xf numFmtId="4" fontId="13" fillId="2" borderId="7" xfId="0" applyNumberFormat="1" applyFont="1" applyFill="1" applyBorder="1"/>
    <xf numFmtId="43" fontId="14" fillId="0" borderId="0" xfId="1" applyFont="1"/>
    <xf numFmtId="3" fontId="15" fillId="0" borderId="0" xfId="0" applyNumberFormat="1" applyFont="1"/>
    <xf numFmtId="3" fontId="13" fillId="2" borderId="7" xfId="0" applyNumberFormat="1" applyFont="1" applyFill="1" applyBorder="1"/>
    <xf numFmtId="0" fontId="0" fillId="16" borderId="1" xfId="0" applyFill="1" applyBorder="1"/>
    <xf numFmtId="3" fontId="0" fillId="16" borderId="1" xfId="0" applyNumberFormat="1" applyFill="1" applyBorder="1"/>
    <xf numFmtId="166" fontId="2" fillId="16" borderId="0" xfId="1" applyNumberFormat="1" applyFont="1" applyFill="1"/>
    <xf numFmtId="0" fontId="2" fillId="16" borderId="0" xfId="0" applyFont="1" applyFill="1"/>
    <xf numFmtId="0" fontId="0" fillId="17" borderId="1" xfId="0" applyFill="1" applyBorder="1"/>
    <xf numFmtId="3" fontId="0" fillId="17" borderId="1" xfId="0" applyNumberFormat="1" applyFill="1" applyBorder="1"/>
    <xf numFmtId="166" fontId="2" fillId="17" borderId="0" xfId="1" applyNumberFormat="1" applyFont="1" applyFill="1"/>
    <xf numFmtId="0" fontId="2" fillId="17" borderId="0" xfId="0" applyFont="1" applyFill="1"/>
    <xf numFmtId="0" fontId="0" fillId="18" borderId="1" xfId="0" applyFill="1" applyBorder="1"/>
    <xf numFmtId="3" fontId="0" fillId="18" borderId="1" xfId="0" applyNumberFormat="1" applyFill="1" applyBorder="1"/>
    <xf numFmtId="166" fontId="2" fillId="18" borderId="0" xfId="1" applyNumberFormat="1" applyFont="1" applyFill="1"/>
    <xf numFmtId="0" fontId="2" fillId="18" borderId="0" xfId="0" applyFont="1" applyFill="1"/>
    <xf numFmtId="0" fontId="0" fillId="19" borderId="1" xfId="0" applyFill="1" applyBorder="1"/>
    <xf numFmtId="3" fontId="0" fillId="19" borderId="1" xfId="0" applyNumberFormat="1" applyFill="1" applyBorder="1"/>
    <xf numFmtId="166" fontId="2" fillId="19" borderId="0" xfId="1" applyNumberFormat="1" applyFont="1" applyFill="1"/>
    <xf numFmtId="0" fontId="2" fillId="19" borderId="0" xfId="0" applyFont="1" applyFill="1"/>
    <xf numFmtId="0" fontId="0" fillId="20" borderId="1" xfId="0" applyFill="1" applyBorder="1"/>
    <xf numFmtId="3" fontId="0" fillId="20" borderId="1" xfId="0" applyNumberFormat="1" applyFill="1" applyBorder="1"/>
    <xf numFmtId="166" fontId="2" fillId="20" borderId="0" xfId="1" applyNumberFormat="1" applyFont="1" applyFill="1"/>
    <xf numFmtId="0" fontId="2" fillId="20" borderId="0" xfId="0" applyFont="1" applyFill="1"/>
    <xf numFmtId="0" fontId="23" fillId="0" borderId="1" xfId="0" applyFont="1" applyBorder="1"/>
    <xf numFmtId="164" fontId="0" fillId="0" borderId="1" xfId="3" applyNumberFormat="1" applyFont="1" applyBorder="1"/>
    <xf numFmtId="164" fontId="14" fillId="0" borderId="0" xfId="0" applyNumberFormat="1" applyFont="1"/>
    <xf numFmtId="17" fontId="23" fillId="0" borderId="1" xfId="0" applyNumberFormat="1" applyFont="1" applyBorder="1" applyAlignment="1">
      <alignment horizontal="center"/>
    </xf>
    <xf numFmtId="0" fontId="14" fillId="0" borderId="1" xfId="0" applyFont="1" applyBorder="1"/>
    <xf numFmtId="0" fontId="17" fillId="0" borderId="1" xfId="6" applyBorder="1">
      <alignment vertical="top"/>
    </xf>
    <xf numFmtId="0" fontId="2" fillId="0" borderId="1" xfId="0" applyFont="1" applyBorder="1"/>
    <xf numFmtId="0" fontId="0" fillId="21" borderId="1" xfId="0" applyFill="1" applyBorder="1"/>
    <xf numFmtId="3" fontId="0" fillId="21" borderId="1" xfId="0" applyNumberFormat="1" applyFill="1" applyBorder="1"/>
    <xf numFmtId="0" fontId="0" fillId="22" borderId="1" xfId="0" applyFill="1" applyBorder="1"/>
    <xf numFmtId="3" fontId="0" fillId="22" borderId="1" xfId="0" applyNumberFormat="1" applyFill="1" applyBorder="1"/>
    <xf numFmtId="0" fontId="0" fillId="23" borderId="1" xfId="0" applyFill="1" applyBorder="1"/>
    <xf numFmtId="3" fontId="0" fillId="23" borderId="1" xfId="0" applyNumberFormat="1" applyFill="1" applyBorder="1"/>
    <xf numFmtId="0" fontId="2" fillId="21" borderId="0" xfId="0" applyFont="1" applyFill="1"/>
    <xf numFmtId="0" fontId="2" fillId="23" borderId="0" xfId="0" applyFont="1" applyFill="1"/>
    <xf numFmtId="0" fontId="2" fillId="22" borderId="0" xfId="0" applyFont="1" applyFill="1"/>
    <xf numFmtId="166" fontId="2" fillId="21" borderId="0" xfId="1" applyNumberFormat="1" applyFont="1" applyFill="1"/>
    <xf numFmtId="166" fontId="2" fillId="23" borderId="0" xfId="1" applyNumberFormat="1" applyFont="1" applyFill="1"/>
    <xf numFmtId="166" fontId="2" fillId="22" borderId="0" xfId="1" applyNumberFormat="1" applyFont="1" applyFill="1"/>
    <xf numFmtId="3" fontId="0" fillId="21" borderId="0" xfId="0" applyNumberFormat="1" applyFill="1"/>
    <xf numFmtId="0" fontId="0" fillId="23" borderId="0" xfId="0" applyFill="1"/>
    <xf numFmtId="0" fontId="0" fillId="24" borderId="1" xfId="0" applyFill="1" applyBorder="1"/>
    <xf numFmtId="3" fontId="0" fillId="24" borderId="1" xfId="0" applyNumberFormat="1" applyFill="1" applyBorder="1"/>
    <xf numFmtId="0" fontId="2" fillId="24" borderId="0" xfId="0" applyFont="1" applyFill="1"/>
    <xf numFmtId="0" fontId="0" fillId="25" borderId="1" xfId="0" applyFill="1" applyBorder="1"/>
    <xf numFmtId="3" fontId="0" fillId="25" borderId="1" xfId="0" applyNumberFormat="1" applyFill="1" applyBorder="1"/>
    <xf numFmtId="0" fontId="2" fillId="25" borderId="0" xfId="0" applyFont="1" applyFill="1"/>
    <xf numFmtId="3" fontId="0" fillId="25" borderId="0" xfId="0" applyNumberFormat="1" applyFill="1"/>
    <xf numFmtId="3" fontId="0" fillId="24" borderId="0" xfId="0" applyNumberFormat="1" applyFill="1"/>
    <xf numFmtId="164" fontId="14" fillId="0" borderId="1" xfId="0" applyNumberFormat="1" applyFont="1" applyBorder="1"/>
    <xf numFmtId="166" fontId="2" fillId="25" borderId="0" xfId="1" applyNumberFormat="1" applyFont="1" applyFill="1"/>
    <xf numFmtId="0" fontId="2" fillId="22" borderId="1" xfId="0" applyFont="1" applyFill="1" applyBorder="1"/>
    <xf numFmtId="3" fontId="0" fillId="0" borderId="20" xfId="0" applyNumberFormat="1" applyBorder="1"/>
    <xf numFmtId="0" fontId="0" fillId="21" borderId="0" xfId="0" applyFill="1"/>
    <xf numFmtId="3" fontId="0" fillId="22" borderId="0" xfId="0" applyNumberFormat="1" applyFill="1"/>
    <xf numFmtId="0" fontId="7" fillId="21" borderId="0" xfId="0" applyFont="1" applyFill="1"/>
    <xf numFmtId="0" fontId="7" fillId="25" borderId="0" xfId="0" applyFont="1" applyFill="1"/>
    <xf numFmtId="0" fontId="7" fillId="23" borderId="0" xfId="0" applyFont="1" applyFill="1"/>
    <xf numFmtId="0" fontId="7" fillId="22" borderId="0" xfId="0" applyFont="1" applyFill="1"/>
    <xf numFmtId="3" fontId="0" fillId="0" borderId="17" xfId="0" applyNumberFormat="1" applyBorder="1"/>
    <xf numFmtId="0" fontId="0" fillId="25" borderId="0" xfId="0" applyFill="1"/>
    <xf numFmtId="0" fontId="0" fillId="22" borderId="0" xfId="0" applyFill="1"/>
    <xf numFmtId="3" fontId="0" fillId="23" borderId="0" xfId="0" applyNumberFormat="1" applyFill="1"/>
    <xf numFmtId="0" fontId="24" fillId="26" borderId="0" xfId="0" applyFont="1" applyFill="1" applyAlignment="1">
      <alignment horizontal="center" wrapText="1"/>
    </xf>
    <xf numFmtId="0" fontId="24" fillId="26" borderId="0" xfId="0" applyFont="1" applyFill="1" applyAlignment="1">
      <alignment wrapText="1"/>
    </xf>
    <xf numFmtId="0" fontId="25" fillId="0" borderId="0" xfId="0" applyFont="1"/>
    <xf numFmtId="17" fontId="25" fillId="0" borderId="0" xfId="0" applyNumberFormat="1" applyFont="1" applyAlignment="1">
      <alignment horizontal="left"/>
    </xf>
    <xf numFmtId="164" fontId="25" fillId="0" borderId="0" xfId="3" applyNumberFormat="1" applyFont="1"/>
    <xf numFmtId="9" fontId="25" fillId="0" borderId="0" xfId="13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27" borderId="0" xfId="0" applyFont="1" applyFill="1" applyAlignment="1">
      <alignment wrapText="1"/>
    </xf>
    <xf numFmtId="0" fontId="24" fillId="27" borderId="0" xfId="0" applyFont="1" applyFill="1" applyAlignment="1">
      <alignment horizontal="center" wrapText="1"/>
    </xf>
    <xf numFmtId="0" fontId="24" fillId="28" borderId="0" xfId="0" applyFont="1" applyFill="1" applyAlignment="1">
      <alignment wrapText="1"/>
    </xf>
    <xf numFmtId="0" fontId="24" fillId="28" borderId="0" xfId="0" applyFont="1" applyFill="1" applyAlignment="1">
      <alignment horizontal="center" wrapText="1"/>
    </xf>
    <xf numFmtId="9" fontId="25" fillId="29" borderId="0" xfId="13" applyFont="1" applyFill="1" applyAlignment="1">
      <alignment horizontal="center"/>
    </xf>
    <xf numFmtId="0" fontId="7" fillId="23" borderId="1" xfId="0" applyFont="1" applyFill="1" applyBorder="1"/>
    <xf numFmtId="3" fontId="7" fillId="23" borderId="1" xfId="0" applyNumberFormat="1" applyFont="1" applyFill="1" applyBorder="1"/>
    <xf numFmtId="0" fontId="7" fillId="0" borderId="1" xfId="0" applyFont="1" applyBorder="1"/>
    <xf numFmtId="3" fontId="7" fillId="0" borderId="1" xfId="0" applyNumberFormat="1" applyFont="1" applyBorder="1"/>
    <xf numFmtId="0" fontId="7" fillId="22" borderId="1" xfId="0" applyFont="1" applyFill="1" applyBorder="1"/>
    <xf numFmtId="3" fontId="7" fillId="22" borderId="1" xfId="0" applyNumberFormat="1" applyFont="1" applyFill="1" applyBorder="1"/>
    <xf numFmtId="0" fontId="7" fillId="21" borderId="1" xfId="0" applyFont="1" applyFill="1" applyBorder="1"/>
    <xf numFmtId="3" fontId="7" fillId="21" borderId="1" xfId="0" applyNumberFormat="1" applyFont="1" applyFill="1" applyBorder="1"/>
    <xf numFmtId="0" fontId="7" fillId="25" borderId="1" xfId="0" applyFont="1" applyFill="1" applyBorder="1"/>
    <xf numFmtId="3" fontId="7" fillId="25" borderId="1" xfId="0" applyNumberFormat="1" applyFont="1" applyFill="1" applyBorder="1"/>
    <xf numFmtId="8" fontId="0" fillId="0" borderId="1" xfId="0" applyNumberFormat="1" applyBorder="1"/>
    <xf numFmtId="0" fontId="2" fillId="23" borderId="1" xfId="0" applyFont="1" applyFill="1" applyBorder="1"/>
    <xf numFmtId="0" fontId="0" fillId="30" borderId="1" xfId="0" applyFill="1" applyBorder="1"/>
    <xf numFmtId="0" fontId="7" fillId="30" borderId="0" xfId="0" applyFont="1" applyFill="1"/>
    <xf numFmtId="6" fontId="0" fillId="22" borderId="1" xfId="0" applyNumberFormat="1" applyFill="1" applyBorder="1"/>
    <xf numFmtId="6" fontId="0" fillId="22" borderId="0" xfId="0" applyNumberFormat="1" applyFill="1"/>
    <xf numFmtId="6" fontId="0" fillId="25" borderId="1" xfId="0" applyNumberFormat="1" applyFill="1" applyBorder="1"/>
    <xf numFmtId="6" fontId="0" fillId="25" borderId="0" xfId="0" applyNumberFormat="1" applyFill="1"/>
    <xf numFmtId="6" fontId="0" fillId="21" borderId="1" xfId="0" applyNumberFormat="1" applyFill="1" applyBorder="1"/>
    <xf numFmtId="6" fontId="0" fillId="21" borderId="0" xfId="0" applyNumberFormat="1" applyFill="1"/>
    <xf numFmtId="6" fontId="0" fillId="30" borderId="1" xfId="0" applyNumberFormat="1" applyFill="1" applyBorder="1"/>
    <xf numFmtId="6" fontId="0" fillId="30" borderId="0" xfId="0" applyNumberFormat="1" applyFill="1"/>
    <xf numFmtId="6" fontId="0" fillId="0" borderId="1" xfId="0" applyNumberFormat="1" applyBorder="1"/>
    <xf numFmtId="9" fontId="25" fillId="0" borderId="0" xfId="13" applyFont="1" applyFill="1" applyAlignment="1">
      <alignment horizontal="center"/>
    </xf>
    <xf numFmtId="8" fontId="0" fillId="22" borderId="1" xfId="0" applyNumberFormat="1" applyFill="1" applyBorder="1"/>
    <xf numFmtId="8" fontId="0" fillId="25" borderId="1" xfId="0" applyNumberFormat="1" applyFill="1" applyBorder="1"/>
    <xf numFmtId="8" fontId="0" fillId="21" borderId="1" xfId="0" applyNumberFormat="1" applyFill="1" applyBorder="1"/>
    <xf numFmtId="8" fontId="0" fillId="30" borderId="1" xfId="0" applyNumberFormat="1" applyFill="1" applyBorder="1"/>
    <xf numFmtId="8" fontId="0" fillId="22" borderId="0" xfId="0" applyNumberFormat="1" applyFill="1"/>
    <xf numFmtId="8" fontId="0" fillId="25" borderId="0" xfId="0" applyNumberFormat="1" applyFill="1"/>
    <xf numFmtId="8" fontId="0" fillId="21" borderId="0" xfId="0" applyNumberFormat="1" applyFill="1"/>
    <xf numFmtId="8" fontId="0" fillId="30" borderId="0" xfId="0" applyNumberFormat="1" applyFill="1"/>
    <xf numFmtId="0" fontId="26" fillId="0" borderId="0" xfId="0" applyFont="1"/>
    <xf numFmtId="8" fontId="27" fillId="0" borderId="0" xfId="0" applyNumberFormat="1" applyFont="1"/>
    <xf numFmtId="0" fontId="28" fillId="23" borderId="1" xfId="0" applyFont="1" applyFill="1" applyBorder="1"/>
    <xf numFmtId="0" fontId="28" fillId="8" borderId="1" xfId="0" applyFont="1" applyFill="1" applyBorder="1"/>
    <xf numFmtId="0" fontId="26" fillId="0" borderId="1" xfId="0" applyFont="1" applyBorder="1"/>
    <xf numFmtId="8" fontId="26" fillId="0" borderId="1" xfId="0" applyNumberFormat="1" applyFont="1" applyBorder="1"/>
    <xf numFmtId="6" fontId="26" fillId="0" borderId="1" xfId="0" applyNumberFormat="1" applyFont="1" applyBorder="1"/>
    <xf numFmtId="0" fontId="26" fillId="22" borderId="1" xfId="0" applyFont="1" applyFill="1" applyBorder="1"/>
    <xf numFmtId="8" fontId="26" fillId="22" borderId="1" xfId="0" applyNumberFormat="1" applyFont="1" applyFill="1" applyBorder="1"/>
    <xf numFmtId="3" fontId="26" fillId="0" borderId="0" xfId="0" applyNumberFormat="1" applyFont="1"/>
    <xf numFmtId="8" fontId="26" fillId="22" borderId="0" xfId="0" applyNumberFormat="1" applyFont="1" applyFill="1"/>
    <xf numFmtId="0" fontId="26" fillId="22" borderId="0" xfId="0" applyFont="1" applyFill="1"/>
    <xf numFmtId="0" fontId="26" fillId="25" borderId="1" xfId="0" applyFont="1" applyFill="1" applyBorder="1"/>
    <xf numFmtId="8" fontId="26" fillId="25" borderId="1" xfId="0" applyNumberFormat="1" applyFont="1" applyFill="1" applyBorder="1"/>
    <xf numFmtId="8" fontId="26" fillId="25" borderId="0" xfId="0" applyNumberFormat="1" applyFont="1" applyFill="1"/>
    <xf numFmtId="0" fontId="26" fillId="25" borderId="0" xfId="0" applyFont="1" applyFill="1"/>
    <xf numFmtId="0" fontId="26" fillId="21" borderId="1" xfId="0" applyFont="1" applyFill="1" applyBorder="1"/>
    <xf numFmtId="8" fontId="26" fillId="21" borderId="1" xfId="0" applyNumberFormat="1" applyFont="1" applyFill="1" applyBorder="1"/>
    <xf numFmtId="0" fontId="28" fillId="2" borderId="0" xfId="0" applyFont="1" applyFill="1"/>
    <xf numFmtId="0" fontId="28" fillId="2" borderId="0" xfId="0" applyFont="1" applyFill="1" applyAlignment="1">
      <alignment horizontal="center"/>
    </xf>
    <xf numFmtId="0" fontId="28" fillId="2" borderId="19" xfId="0" applyFont="1" applyFill="1" applyBorder="1"/>
    <xf numFmtId="0" fontId="26" fillId="2" borderId="19" xfId="0" applyFont="1" applyFill="1" applyBorder="1"/>
    <xf numFmtId="0" fontId="28" fillId="2" borderId="19" xfId="0" applyFont="1" applyFill="1" applyBorder="1" applyAlignment="1">
      <alignment horizontal="center"/>
    </xf>
    <xf numFmtId="166" fontId="26" fillId="0" borderId="0" xfId="1" applyNumberFormat="1" applyFont="1" applyFill="1"/>
    <xf numFmtId="9" fontId="26" fillId="0" borderId="0" xfId="13" applyFont="1" applyAlignment="1">
      <alignment horizontal="center"/>
    </xf>
    <xf numFmtId="0" fontId="28" fillId="0" borderId="0" xfId="0" applyFont="1"/>
    <xf numFmtId="166" fontId="28" fillId="0" borderId="7" xfId="1" applyNumberFormat="1" applyFont="1" applyFill="1" applyBorder="1"/>
    <xf numFmtId="9" fontId="28" fillId="0" borderId="7" xfId="0" applyNumberFormat="1" applyFont="1" applyBorder="1" applyAlignment="1">
      <alignment horizontal="center"/>
    </xf>
    <xf numFmtId="8" fontId="26" fillId="21" borderId="0" xfId="0" applyNumberFormat="1" applyFont="1" applyFill="1"/>
    <xf numFmtId="0" fontId="26" fillId="21" borderId="0" xfId="0" applyFont="1" applyFill="1"/>
    <xf numFmtId="0" fontId="26" fillId="30" borderId="1" xfId="0" applyFont="1" applyFill="1" applyBorder="1"/>
    <xf numFmtId="8" fontId="26" fillId="30" borderId="1" xfId="0" applyNumberFormat="1" applyFont="1" applyFill="1" applyBorder="1"/>
    <xf numFmtId="8" fontId="26" fillId="30" borderId="0" xfId="0" applyNumberFormat="1" applyFont="1" applyFill="1"/>
    <xf numFmtId="0" fontId="26" fillId="30" borderId="0" xfId="0" applyFont="1" applyFill="1"/>
    <xf numFmtId="8" fontId="26" fillId="0" borderId="0" xfId="0" applyNumberFormat="1" applyFont="1"/>
    <xf numFmtId="0" fontId="29" fillId="0" borderId="0" xfId="0" applyFont="1"/>
    <xf numFmtId="8" fontId="29" fillId="0" borderId="0" xfId="0" applyNumberFormat="1" applyFont="1"/>
    <xf numFmtId="8" fontId="29" fillId="19" borderId="0" xfId="0" applyNumberFormat="1" applyFont="1" applyFill="1"/>
    <xf numFmtId="9" fontId="26" fillId="0" borderId="0" xfId="13" applyFont="1"/>
    <xf numFmtId="14" fontId="26" fillId="0" borderId="0" xfId="0" applyNumberFormat="1" applyFont="1"/>
    <xf numFmtId="164" fontId="26" fillId="0" borderId="0" xfId="3" applyNumberFormat="1" applyFont="1"/>
    <xf numFmtId="0" fontId="28" fillId="0" borderId="0" xfId="0" applyFont="1" applyAlignment="1">
      <alignment horizontal="center"/>
    </xf>
    <xf numFmtId="17" fontId="28" fillId="0" borderId="0" xfId="0" applyNumberFormat="1" applyFont="1" applyAlignment="1">
      <alignment horizontal="center"/>
    </xf>
    <xf numFmtId="17" fontId="28" fillId="0" borderId="0" xfId="0" applyNumberFormat="1" applyFont="1" applyAlignment="1" applyProtection="1">
      <alignment horizontal="center"/>
      <protection locked="0"/>
    </xf>
    <xf numFmtId="0" fontId="28" fillId="0" borderId="0" xfId="0" applyFont="1" applyAlignment="1" applyProtection="1">
      <alignment horizontal="center"/>
      <protection locked="0"/>
    </xf>
    <xf numFmtId="164" fontId="26" fillId="0" borderId="0" xfId="3" applyNumberFormat="1" applyFont="1" applyProtection="1"/>
    <xf numFmtId="164" fontId="26" fillId="0" borderId="0" xfId="3" applyNumberFormat="1" applyFont="1" applyProtection="1">
      <protection locked="0"/>
    </xf>
    <xf numFmtId="0" fontId="26" fillId="0" borderId="0" xfId="0" applyFont="1" applyProtection="1">
      <protection locked="0"/>
    </xf>
    <xf numFmtId="164" fontId="26" fillId="0" borderId="0" xfId="3" applyNumberFormat="1" applyFont="1" applyFill="1" applyProtection="1">
      <protection locked="0"/>
    </xf>
    <xf numFmtId="0" fontId="28" fillId="0" borderId="0" xfId="0" applyFont="1" applyProtection="1">
      <protection locked="0"/>
    </xf>
    <xf numFmtId="164" fontId="26" fillId="0" borderId="0" xfId="0" applyNumberFormat="1" applyFont="1" applyProtection="1">
      <protection locked="0"/>
    </xf>
    <xf numFmtId="6" fontId="26" fillId="0" borderId="0" xfId="0" applyNumberFormat="1" applyFont="1" applyProtection="1">
      <protection locked="0"/>
    </xf>
    <xf numFmtId="164" fontId="26" fillId="0" borderId="0" xfId="3" applyNumberFormat="1" applyFont="1" applyBorder="1"/>
    <xf numFmtId="164" fontId="26" fillId="0" borderId="0" xfId="3" applyNumberFormat="1" applyFont="1" applyFill="1" applyBorder="1"/>
    <xf numFmtId="0" fontId="26" fillId="0" borderId="0" xfId="0" applyFont="1" applyAlignment="1">
      <alignment horizontal="right"/>
    </xf>
    <xf numFmtId="165" fontId="26" fillId="0" borderId="0" xfId="13" applyNumberFormat="1" applyFont="1"/>
    <xf numFmtId="44" fontId="26" fillId="25" borderId="0" xfId="3" applyFont="1" applyFill="1"/>
    <xf numFmtId="0" fontId="30" fillId="0" borderId="0" xfId="0" applyFont="1" applyAlignment="1">
      <alignment horizontal="right"/>
    </xf>
    <xf numFmtId="0" fontId="30" fillId="0" borderId="0" xfId="0" applyFont="1" applyAlignment="1">
      <alignment horizontal="center"/>
    </xf>
    <xf numFmtId="6" fontId="26" fillId="0" borderId="0" xfId="0" applyNumberFormat="1" applyFont="1"/>
    <xf numFmtId="6" fontId="26" fillId="22" borderId="1" xfId="0" applyNumberFormat="1" applyFont="1" applyFill="1" applyBorder="1"/>
    <xf numFmtId="6" fontId="26" fillId="22" borderId="0" xfId="0" applyNumberFormat="1" applyFont="1" applyFill="1"/>
    <xf numFmtId="6" fontId="26" fillId="25" borderId="1" xfId="0" applyNumberFormat="1" applyFont="1" applyFill="1" applyBorder="1"/>
    <xf numFmtId="6" fontId="26" fillId="25" borderId="0" xfId="0" applyNumberFormat="1" applyFont="1" applyFill="1"/>
    <xf numFmtId="6" fontId="26" fillId="21" borderId="1" xfId="0" applyNumberFormat="1" applyFont="1" applyFill="1" applyBorder="1"/>
    <xf numFmtId="6" fontId="26" fillId="21" borderId="0" xfId="0" applyNumberFormat="1" applyFont="1" applyFill="1"/>
    <xf numFmtId="6" fontId="26" fillId="30" borderId="1" xfId="0" applyNumberFormat="1" applyFont="1" applyFill="1" applyBorder="1"/>
    <xf numFmtId="6" fontId="26" fillId="30" borderId="0" xfId="0" applyNumberFormat="1" applyFont="1" applyFill="1"/>
    <xf numFmtId="166" fontId="26" fillId="0" borderId="7" xfId="1" applyNumberFormat="1" applyFont="1" applyFill="1" applyBorder="1"/>
    <xf numFmtId="0" fontId="26" fillId="31" borderId="1" xfId="0" applyFont="1" applyFill="1" applyBorder="1"/>
    <xf numFmtId="8" fontId="26" fillId="31" borderId="1" xfId="0" applyNumberFormat="1" applyFont="1" applyFill="1" applyBorder="1"/>
    <xf numFmtId="0" fontId="31" fillId="0" borderId="1" xfId="0" applyFont="1" applyBorder="1"/>
    <xf numFmtId="0" fontId="31" fillId="22" borderId="1" xfId="0" applyFont="1" applyFill="1" applyBorder="1"/>
    <xf numFmtId="6" fontId="31" fillId="0" borderId="0" xfId="0" applyNumberFormat="1" applyFont="1"/>
    <xf numFmtId="0" fontId="31" fillId="0" borderId="0" xfId="0" applyFont="1"/>
    <xf numFmtId="0" fontId="31" fillId="25" borderId="1" xfId="0" applyFont="1" applyFill="1" applyBorder="1"/>
    <xf numFmtId="0" fontId="31" fillId="21" borderId="1" xfId="0" applyFont="1" applyFill="1" applyBorder="1"/>
    <xf numFmtId="0" fontId="31" fillId="30" borderId="1" xfId="0" applyFont="1" applyFill="1" applyBorder="1"/>
    <xf numFmtId="0" fontId="32" fillId="0" borderId="0" xfId="0" applyFont="1"/>
    <xf numFmtId="166" fontId="26" fillId="0" borderId="0" xfId="2" applyNumberFormat="1" applyFont="1" applyFill="1"/>
    <xf numFmtId="166" fontId="26" fillId="0" borderId="7" xfId="2" applyNumberFormat="1" applyFont="1" applyFill="1" applyBorder="1"/>
    <xf numFmtId="0" fontId="26" fillId="0" borderId="0" xfId="0" applyFont="1" applyAlignment="1">
      <alignment horizontal="center"/>
    </xf>
    <xf numFmtId="8" fontId="0" fillId="0" borderId="0" xfId="0" applyNumberFormat="1"/>
    <xf numFmtId="8" fontId="7" fillId="0" borderId="1" xfId="0" applyNumberFormat="1" applyFont="1" applyBorder="1"/>
    <xf numFmtId="0" fontId="20" fillId="0" borderId="0" xfId="0" applyFont="1"/>
    <xf numFmtId="8" fontId="20" fillId="0" borderId="0" xfId="0" applyNumberFormat="1" applyFont="1"/>
    <xf numFmtId="9" fontId="20" fillId="0" borderId="0" xfId="13" applyFont="1" applyAlignment="1">
      <alignment horizontal="center"/>
    </xf>
    <xf numFmtId="6" fontId="20" fillId="0" borderId="0" xfId="0" applyNumberFormat="1" applyFont="1"/>
    <xf numFmtId="0" fontId="20" fillId="26" borderId="0" xfId="0" applyFont="1" applyFill="1"/>
    <xf numFmtId="6" fontId="20" fillId="26" borderId="0" xfId="0" applyNumberFormat="1" applyFont="1" applyFill="1"/>
    <xf numFmtId="14" fontId="33" fillId="26" borderId="0" xfId="0" applyNumberFormat="1" applyFont="1" applyFill="1"/>
    <xf numFmtId="164" fontId="25" fillId="0" borderId="0" xfId="3" applyNumberFormat="1" applyFont="1" applyFill="1"/>
    <xf numFmtId="164" fontId="25" fillId="0" borderId="0" xfId="0" applyNumberFormat="1" applyFont="1"/>
    <xf numFmtId="166" fontId="26" fillId="0" borderId="0" xfId="0" applyNumberFormat="1" applyFont="1"/>
    <xf numFmtId="164" fontId="28" fillId="0" borderId="5" xfId="0" applyNumberFormat="1" applyFont="1" applyBorder="1" applyProtection="1">
      <protection locked="0"/>
    </xf>
    <xf numFmtId="164" fontId="34" fillId="0" borderId="0" xfId="0" applyNumberFormat="1" applyFont="1" applyProtection="1">
      <protection locked="0"/>
    </xf>
    <xf numFmtId="0" fontId="34" fillId="0" borderId="0" xfId="0" applyFont="1" applyProtection="1">
      <protection locked="0"/>
    </xf>
    <xf numFmtId="0" fontId="26" fillId="19" borderId="0" xfId="0" applyFont="1" applyFill="1" applyAlignment="1">
      <alignment horizontal="center"/>
    </xf>
    <xf numFmtId="14" fontId="20" fillId="0" borderId="0" xfId="0" applyNumberFormat="1" applyFont="1"/>
    <xf numFmtId="164" fontId="25" fillId="31" borderId="0" xfId="0" applyNumberFormat="1" applyFont="1" applyFill="1"/>
    <xf numFmtId="164" fontId="25" fillId="32" borderId="0" xfId="0" applyNumberFormat="1" applyFont="1" applyFill="1"/>
    <xf numFmtId="164" fontId="25" fillId="33" borderId="0" xfId="0" applyNumberFormat="1" applyFont="1" applyFill="1"/>
    <xf numFmtId="8" fontId="26" fillId="0" borderId="0" xfId="0" applyNumberFormat="1" applyFont="1" applyProtection="1">
      <protection locked="0"/>
    </xf>
    <xf numFmtId="17" fontId="26" fillId="0" borderId="0" xfId="0" applyNumberFormat="1" applyFont="1" applyProtection="1">
      <protection locked="0"/>
    </xf>
    <xf numFmtId="164" fontId="22" fillId="0" borderId="0" xfId="5" applyNumberFormat="1" applyFont="1"/>
    <xf numFmtId="164" fontId="25" fillId="28" borderId="0" xfId="0" applyNumberFormat="1" applyFont="1" applyFill="1"/>
    <xf numFmtId="0" fontId="28" fillId="2" borderId="5" xfId="0" applyFont="1" applyFill="1" applyBorder="1"/>
    <xf numFmtId="0" fontId="28" fillId="2" borderId="5" xfId="0" applyFont="1" applyFill="1" applyBorder="1" applyAlignment="1">
      <alignment horizontal="center"/>
    </xf>
    <xf numFmtId="164" fontId="22" fillId="0" borderId="0" xfId="3" applyNumberFormat="1" applyFont="1"/>
    <xf numFmtId="0" fontId="28" fillId="34" borderId="4" xfId="0" applyFont="1" applyFill="1" applyBorder="1" applyProtection="1">
      <protection locked="0"/>
    </xf>
    <xf numFmtId="0" fontId="28" fillId="34" borderId="5" xfId="0" applyFont="1" applyFill="1" applyBorder="1" applyAlignment="1" applyProtection="1">
      <alignment horizontal="center"/>
      <protection locked="0"/>
    </xf>
    <xf numFmtId="0" fontId="28" fillId="34" borderId="6" xfId="0" applyFont="1" applyFill="1" applyBorder="1" applyAlignment="1" applyProtection="1">
      <alignment horizontal="center"/>
      <protection locked="0"/>
    </xf>
    <xf numFmtId="0" fontId="26" fillId="0" borderId="21" xfId="0" applyFont="1" applyBorder="1"/>
    <xf numFmtId="164" fontId="26" fillId="0" borderId="22" xfId="3" applyNumberFormat="1" applyFont="1" applyBorder="1"/>
    <xf numFmtId="0" fontId="26" fillId="0" borderId="23" xfId="0" applyFont="1" applyBorder="1"/>
    <xf numFmtId="0" fontId="26" fillId="0" borderId="17" xfId="0" applyFont="1" applyBorder="1"/>
    <xf numFmtId="10" fontId="26" fillId="0" borderId="24" xfId="13" applyNumberFormat="1" applyFont="1" applyBorder="1" applyAlignment="1">
      <alignment horizontal="center"/>
    </xf>
    <xf numFmtId="10" fontId="26" fillId="0" borderId="24" xfId="13" applyNumberFormat="1" applyFont="1" applyFill="1" applyBorder="1" applyAlignment="1">
      <alignment horizontal="center"/>
    </xf>
    <xf numFmtId="164" fontId="26" fillId="0" borderId="0" xfId="0" applyNumberFormat="1" applyFont="1"/>
    <xf numFmtId="0" fontId="35" fillId="0" borderId="0" xfId="0" applyFont="1" applyAlignment="1">
      <alignment wrapText="1"/>
    </xf>
    <xf numFmtId="10" fontId="26" fillId="0" borderId="0" xfId="13" applyNumberFormat="1" applyFont="1" applyBorder="1" applyAlignment="1">
      <alignment horizontal="center"/>
    </xf>
    <xf numFmtId="10" fontId="26" fillId="0" borderId="0" xfId="13" applyNumberFormat="1" applyFont="1" applyFill="1" applyBorder="1" applyAlignment="1">
      <alignment horizontal="center"/>
    </xf>
    <xf numFmtId="42" fontId="34" fillId="0" borderId="0" xfId="3" applyNumberFormat="1" applyFont="1" applyProtection="1">
      <protection locked="0"/>
    </xf>
    <xf numFmtId="10" fontId="26" fillId="0" borderId="0" xfId="13" applyNumberFormat="1" applyFont="1" applyProtection="1">
      <protection locked="0"/>
    </xf>
    <xf numFmtId="164" fontId="34" fillId="0" borderId="0" xfId="13" applyNumberFormat="1" applyFont="1" applyProtection="1">
      <protection locked="0"/>
    </xf>
    <xf numFmtId="0" fontId="20" fillId="35" borderId="0" xfId="0" applyFont="1" applyFill="1"/>
    <xf numFmtId="14" fontId="20" fillId="35" borderId="0" xfId="0" applyNumberFormat="1" applyFont="1" applyFill="1"/>
    <xf numFmtId="6" fontId="20" fillId="35" borderId="0" xfId="0" applyNumberFormat="1" applyFont="1" applyFill="1"/>
    <xf numFmtId="17" fontId="0" fillId="19" borderId="0" xfId="0" applyNumberFormat="1" applyFill="1"/>
    <xf numFmtId="0" fontId="0" fillId="19" borderId="0" xfId="0" applyFill="1"/>
    <xf numFmtId="164" fontId="26" fillId="36" borderId="4" xfId="3" applyNumberFormat="1" applyFont="1" applyFill="1" applyBorder="1" applyProtection="1">
      <protection locked="0"/>
    </xf>
    <xf numFmtId="164" fontId="26" fillId="36" borderId="5" xfId="3" applyNumberFormat="1" applyFont="1" applyFill="1" applyBorder="1" applyProtection="1">
      <protection locked="0"/>
    </xf>
    <xf numFmtId="164" fontId="26" fillId="36" borderId="6" xfId="3" applyNumberFormat="1" applyFont="1" applyFill="1" applyBorder="1" applyProtection="1">
      <protection locked="0"/>
    </xf>
    <xf numFmtId="164" fontId="34" fillId="36" borderId="1" xfId="0" applyNumberFormat="1" applyFont="1" applyFill="1" applyBorder="1" applyProtection="1">
      <protection locked="0"/>
    </xf>
    <xf numFmtId="167" fontId="0" fillId="0" borderId="0" xfId="0" applyNumberFormat="1"/>
    <xf numFmtId="10" fontId="0" fillId="0" borderId="0" xfId="13" applyNumberFormat="1" applyFont="1"/>
    <xf numFmtId="164" fontId="0" fillId="0" borderId="0" xfId="0" applyNumberFormat="1"/>
    <xf numFmtId="168" fontId="22" fillId="0" borderId="0" xfId="14" applyNumberFormat="1" applyFont="1"/>
    <xf numFmtId="164" fontId="25" fillId="37" borderId="0" xfId="0" applyNumberFormat="1" applyFont="1" applyFill="1"/>
    <xf numFmtId="0" fontId="26" fillId="0" borderId="17" xfId="0" applyFont="1" applyBorder="1" applyProtection="1">
      <protection locked="0"/>
    </xf>
    <xf numFmtId="10" fontId="31" fillId="19" borderId="26" xfId="13" applyNumberFormat="1" applyFont="1" applyFill="1" applyBorder="1" applyAlignment="1">
      <alignment horizontal="center"/>
    </xf>
    <xf numFmtId="0" fontId="31" fillId="19" borderId="25" xfId="0" applyFont="1" applyFill="1" applyBorder="1" applyProtection="1">
      <protection locked="0"/>
    </xf>
    <xf numFmtId="164" fontId="31" fillId="19" borderId="19" xfId="0" applyNumberFormat="1" applyFont="1" applyFill="1" applyBorder="1" applyProtection="1">
      <protection locked="0"/>
    </xf>
    <xf numFmtId="164" fontId="26" fillId="0" borderId="19" xfId="0" applyNumberFormat="1" applyFont="1" applyBorder="1" applyProtection="1">
      <protection locked="0"/>
    </xf>
    <xf numFmtId="0" fontId="27" fillId="2" borderId="12" xfId="0" applyFont="1" applyFill="1" applyBorder="1"/>
    <xf numFmtId="0" fontId="26" fillId="0" borderId="0" xfId="0" applyFont="1"/>
    <xf numFmtId="0" fontId="26" fillId="0" borderId="13" xfId="0" applyFont="1" applyBorder="1"/>
    <xf numFmtId="0" fontId="27" fillId="2" borderId="14" xfId="0" applyFont="1" applyFill="1" applyBorder="1"/>
    <xf numFmtId="0" fontId="26" fillId="0" borderId="15" xfId="0" applyFont="1" applyBorder="1"/>
    <xf numFmtId="0" fontId="26" fillId="0" borderId="16" xfId="0" applyFont="1" applyBorder="1"/>
    <xf numFmtId="0" fontId="28" fillId="2" borderId="27" xfId="0" applyFont="1" applyFill="1" applyBorder="1"/>
    <xf numFmtId="0" fontId="26" fillId="0" borderId="28" xfId="0" applyFont="1" applyBorder="1"/>
    <xf numFmtId="0" fontId="26" fillId="0" borderId="29" xfId="0" applyFont="1" applyBorder="1"/>
    <xf numFmtId="0" fontId="28" fillId="2" borderId="28" xfId="0" applyFont="1" applyFill="1" applyBorder="1"/>
    <xf numFmtId="0" fontId="28" fillId="2" borderId="29" xfId="0" applyFont="1" applyFill="1" applyBorder="1"/>
    <xf numFmtId="0" fontId="27" fillId="2" borderId="9" xfId="0" applyFont="1" applyFill="1" applyBorder="1"/>
    <xf numFmtId="0" fontId="27" fillId="2" borderId="10" xfId="0" applyFont="1" applyFill="1" applyBorder="1"/>
    <xf numFmtId="0" fontId="27" fillId="2" borderId="11" xfId="0" applyFont="1" applyFill="1" applyBorder="1"/>
    <xf numFmtId="0" fontId="27" fillId="2" borderId="0" xfId="0" applyFont="1" applyFill="1"/>
    <xf numFmtId="0" fontId="27" fillId="2" borderId="13" xfId="0" applyFont="1" applyFill="1" applyBorder="1"/>
    <xf numFmtId="0" fontId="27" fillId="2" borderId="15" xfId="0" applyFont="1" applyFill="1" applyBorder="1"/>
    <xf numFmtId="0" fontId="27" fillId="2" borderId="16" xfId="0" applyFont="1" applyFill="1" applyBorder="1"/>
    <xf numFmtId="0" fontId="34" fillId="2" borderId="0" xfId="0" applyFont="1" applyFill="1"/>
    <xf numFmtId="0" fontId="34" fillId="2" borderId="13" xfId="0" applyFont="1" applyFill="1" applyBorder="1"/>
    <xf numFmtId="0" fontId="34" fillId="2" borderId="15" xfId="0" applyFont="1" applyFill="1" applyBorder="1"/>
    <xf numFmtId="0" fontId="34" fillId="2" borderId="16" xfId="0" applyFont="1" applyFill="1" applyBorder="1"/>
    <xf numFmtId="0" fontId="26" fillId="0" borderId="22" xfId="0" applyFont="1" applyBorder="1"/>
    <xf numFmtId="0" fontId="7" fillId="0" borderId="0" xfId="0" applyFont="1"/>
    <xf numFmtId="0" fontId="11" fillId="2" borderId="12" xfId="0" applyFont="1" applyFill="1" applyBorder="1"/>
    <xf numFmtId="0" fontId="0" fillId="0" borderId="0" xfId="0"/>
    <xf numFmtId="0" fontId="0" fillId="0" borderId="13" xfId="0" applyBorder="1"/>
    <xf numFmtId="0" fontId="12" fillId="2" borderId="0" xfId="0" applyFont="1" applyFill="1"/>
    <xf numFmtId="0" fontId="12" fillId="2" borderId="13" xfId="0" applyFont="1" applyFill="1" applyBorder="1"/>
    <xf numFmtId="0" fontId="11" fillId="2" borderId="14" xfId="0" applyFont="1" applyFill="1" applyBorder="1"/>
    <xf numFmtId="0" fontId="0" fillId="0" borderId="15" xfId="0" applyBorder="1"/>
    <xf numFmtId="0" fontId="0" fillId="0" borderId="16" xfId="0" applyBorder="1"/>
    <xf numFmtId="0" fontId="12" fillId="2" borderId="15" xfId="0" applyFont="1" applyFill="1" applyBorder="1"/>
    <xf numFmtId="0" fontId="12" fillId="2" borderId="16" xfId="0" applyFont="1" applyFill="1" applyBorder="1"/>
    <xf numFmtId="0" fontId="7" fillId="0" borderId="22" xfId="0" applyFont="1" applyBorder="1"/>
    <xf numFmtId="0" fontId="0" fillId="0" borderId="22" xfId="0" applyBorder="1"/>
    <xf numFmtId="0" fontId="2" fillId="2" borderId="27" xfId="0" applyFont="1" applyFill="1" applyBorder="1"/>
    <xf numFmtId="0" fontId="0" fillId="0" borderId="28" xfId="0" applyBorder="1"/>
    <xf numFmtId="0" fontId="0" fillId="0" borderId="29" xfId="0" applyBorder="1"/>
    <xf numFmtId="0" fontId="2" fillId="2" borderId="28" xfId="0" applyFont="1" applyFill="1" applyBorder="1"/>
    <xf numFmtId="0" fontId="2" fillId="2" borderId="29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1" fillId="2" borderId="11" xfId="0" applyFont="1" applyFill="1" applyBorder="1"/>
    <xf numFmtId="0" fontId="2" fillId="2" borderId="21" xfId="12" applyFont="1" applyFill="1" applyBorder="1" applyAlignment="1">
      <alignment horizontal="center" wrapText="1"/>
    </xf>
    <xf numFmtId="0" fontId="2" fillId="2" borderId="23" xfId="12" applyFont="1" applyFill="1" applyBorder="1" applyAlignment="1">
      <alignment horizontal="center" wrapText="1"/>
    </xf>
    <xf numFmtId="0" fontId="2" fillId="2" borderId="25" xfId="12" applyFont="1" applyFill="1" applyBorder="1" applyAlignment="1">
      <alignment horizontal="center" wrapText="1"/>
    </xf>
    <xf numFmtId="0" fontId="2" fillId="2" borderId="26" xfId="12" applyFont="1" applyFill="1" applyBorder="1" applyAlignment="1">
      <alignment horizontal="center" wrapText="1"/>
    </xf>
    <xf numFmtId="0" fontId="2" fillId="2" borderId="2" xfId="12" applyFont="1" applyFill="1" applyBorder="1"/>
    <xf numFmtId="0" fontId="2" fillId="2" borderId="3" xfId="12" applyFont="1" applyFill="1" applyBorder="1"/>
    <xf numFmtId="17" fontId="6" fillId="0" borderId="4" xfId="12" applyNumberFormat="1" applyFont="1" applyBorder="1" applyAlignment="1">
      <alignment horizontal="center" vertical="center" textRotation="90" wrapText="1"/>
    </xf>
    <xf numFmtId="0" fontId="6" fillId="0" borderId="4" xfId="12" applyFont="1" applyBorder="1" applyAlignment="1">
      <alignment horizontal="center" vertical="center" textRotation="90" wrapText="1"/>
    </xf>
    <xf numFmtId="0" fontId="2" fillId="2" borderId="1" xfId="12" applyFont="1" applyFill="1" applyBorder="1" applyAlignment="1">
      <alignment horizontal="center" wrapText="1"/>
    </xf>
    <xf numFmtId="0" fontId="2" fillId="2" borderId="1" xfId="12" applyFont="1" applyFill="1" applyBorder="1" applyAlignment="1">
      <alignment horizontal="center"/>
    </xf>
    <xf numFmtId="17" fontId="6" fillId="0" borderId="1" xfId="12" applyNumberFormat="1" applyFont="1" applyBorder="1" applyAlignment="1">
      <alignment horizontal="center" vertical="center" textRotation="90" wrapText="1"/>
    </xf>
    <xf numFmtId="0" fontId="6" fillId="0" borderId="1" xfId="12" applyFont="1" applyBorder="1" applyAlignment="1">
      <alignment horizontal="center" vertical="center" textRotation="90" wrapText="1"/>
    </xf>
    <xf numFmtId="0" fontId="2" fillId="2" borderId="1" xfId="12" applyFont="1" applyFill="1" applyBorder="1"/>
    <xf numFmtId="0" fontId="2" fillId="2" borderId="4" xfId="12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45">
    <cellStyle name="Comma" xfId="1" builtinId="3"/>
    <cellStyle name="Comma 2" xfId="2" xr:uid="{00000000-0005-0000-0000-000001000000}"/>
    <cellStyle name="Comma 2 2" xfId="25" xr:uid="{4BE2CB5A-5A99-49EC-9E1D-1860FF874DBC}"/>
    <cellStyle name="Comma 2 3" xfId="31" xr:uid="{593368C1-EBA6-42A2-8F67-E3D89BF873E1}"/>
    <cellStyle name="Comma 2 4" xfId="36" xr:uid="{267AABE0-B89F-426B-AC5B-79F07AFE867A}"/>
    <cellStyle name="Comma 2 5" xfId="41" xr:uid="{4C7A137A-AB3B-426F-9265-ED816FD0AC8C}"/>
    <cellStyle name="Comma 2 6" xfId="17" xr:uid="{76C695CF-BFD4-4015-9C12-49E512523FC5}"/>
    <cellStyle name="Comma 3" xfId="16" xr:uid="{CBBAAF1A-7AD0-4D4B-880F-6B7A314CF35A}"/>
    <cellStyle name="Comma 4" xfId="24" xr:uid="{758DCEAF-17F6-4D74-994E-0A7D2758ECEC}"/>
    <cellStyle name="Comma 5" xfId="30" xr:uid="{3AD1D1DB-BAA9-4AA5-B6FE-C2AA4686C9DC}"/>
    <cellStyle name="Comma 6" xfId="35" xr:uid="{6A1C7757-CCC8-42CC-B254-ABBCC75BAEAF}"/>
    <cellStyle name="Comma 7" xfId="40" xr:uid="{933C96E5-9C05-4018-9785-765EDA2BB56C}"/>
    <cellStyle name="Currency" xfId="3" builtinId="4"/>
    <cellStyle name="Currency 2" xfId="4" xr:uid="{00000000-0005-0000-0000-000003000000}"/>
    <cellStyle name="Currency 2 2" xfId="27" xr:uid="{1C591DE8-C853-4A08-AD22-DD06E2C0B436}"/>
    <cellStyle name="Currency 2 3" xfId="33" xr:uid="{A86CC20E-F85B-4239-8FCA-AB3D40AB693E}"/>
    <cellStyle name="Currency 2 4" xfId="38" xr:uid="{FFA3B9B4-A905-4B8A-BC36-186EF90287FA}"/>
    <cellStyle name="Currency 2 5" xfId="43" xr:uid="{E59D7C75-F255-4DE0-A9DF-4FAF189FDD36}"/>
    <cellStyle name="Currency 2 6" xfId="19" xr:uid="{9CED499A-6B51-48F3-981D-8CB7871332BD}"/>
    <cellStyle name="Currency 3" xfId="5" xr:uid="{00000000-0005-0000-0000-000004000000}"/>
    <cellStyle name="Currency 3 2" xfId="28" xr:uid="{BBE41D7A-3069-457C-9AE9-032D4EBFE11E}"/>
    <cellStyle name="Currency 3 3" xfId="34" xr:uid="{892D8264-83F8-43CB-B99D-17AFE865F003}"/>
    <cellStyle name="Currency 3 4" xfId="39" xr:uid="{4D1F1296-61B0-4A70-BE6A-EF7DA10D4199}"/>
    <cellStyle name="Currency 3 5" xfId="44" xr:uid="{2DFB79FF-36DF-40DB-9A9E-62B33132BDA5}"/>
    <cellStyle name="Currency 3 6" xfId="20" xr:uid="{22F502FA-91F4-4287-B7A6-245FBEACBC19}"/>
    <cellStyle name="Currency 4" xfId="18" xr:uid="{ABA6645B-CF50-4975-BC4B-7155A87C3D5E}"/>
    <cellStyle name="Currency 5" xfId="26" xr:uid="{716E90C2-56F1-4A1C-91B6-5F043EAB5C18}"/>
    <cellStyle name="Currency 6" xfId="32" xr:uid="{4E44BD80-6C16-46C7-B629-AB322E8FB814}"/>
    <cellStyle name="Currency 7" xfId="37" xr:uid="{550310B0-7ECD-495C-BC2C-36626EE58A51}"/>
    <cellStyle name="Currency 8" xfId="42" xr:uid="{734F8CE7-5409-4ED0-B6C6-E8E047B333CC}"/>
    <cellStyle name="Currency 9" xfId="14" xr:uid="{CF3EBC15-E27F-4E76-9534-BBBF24D5725E}"/>
    <cellStyle name="Normal" xfId="0" builtinId="0"/>
    <cellStyle name="Normal 2" xfId="6" xr:uid="{00000000-0005-0000-0000-000006000000}"/>
    <cellStyle name="Normal 2 2" xfId="7" xr:uid="{00000000-0005-0000-0000-000007000000}"/>
    <cellStyle name="Normal 2 3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29" xr:uid="{82FB5F4A-C51B-4EE9-9B0D-FDF78E9D55F3}"/>
    <cellStyle name="Normal 4 3" xfId="21" xr:uid="{04FA0F8E-7DA6-431C-9B01-910EDE9292C8}"/>
    <cellStyle name="Normal 5" xfId="11" xr:uid="{00000000-0005-0000-0000-00000B000000}"/>
    <cellStyle name="Normal 6" xfId="15" xr:uid="{4D917858-A8B9-4790-8466-1D5072613A01}"/>
    <cellStyle name="Normal 7" xfId="23" xr:uid="{A9449ADC-B252-4D34-984B-91C385A435F4}"/>
    <cellStyle name="Normal_Monthly Credit Performance - Debt Levels as Reported in Board Papers - August 14 2009" xfId="12" xr:uid="{00000000-0005-0000-0000-00000C000000}"/>
    <cellStyle name="Percent" xfId="13" builtinId="5"/>
    <cellStyle name="Percent 2" xfId="22" xr:uid="{6D3D12B6-FE8C-4760-AAE8-3C3E7BB956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theme" Target="theme/theme1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styles" Target="styles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sharedStrings" Target="sharedStrings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calcChain" Target="calcChain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147886624219935E-3"/>
          <c:y val="7.5728383128390281E-2"/>
          <c:w val="0.9557215012264737"/>
          <c:h val="0.8064885483802956"/>
        </c:manualLayout>
      </c:layout>
      <c:lineChart>
        <c:grouping val="standard"/>
        <c:varyColors val="0"/>
        <c:ser>
          <c:idx val="2"/>
          <c:order val="2"/>
          <c:tx>
            <c:strRef>
              <c:f>'Categories - Chart'!$A$4</c:f>
              <c:strCache>
                <c:ptCount val="1"/>
                <c:pt idx="0">
                  <c:v>non-residential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'Categories - Chart'!$B$1:$EI$1</c:f>
              <c:numCache>
                <c:formatCode>m/d/yyyy</c:formatCode>
                <c:ptCount val="138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41790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  <c:pt idx="61">
                  <c:v>43677</c:v>
                </c:pt>
                <c:pt idx="62">
                  <c:v>43708</c:v>
                </c:pt>
                <c:pt idx="63">
                  <c:v>43738</c:v>
                </c:pt>
                <c:pt idx="64">
                  <c:v>43769</c:v>
                </c:pt>
                <c:pt idx="65">
                  <c:v>43799</c:v>
                </c:pt>
                <c:pt idx="66">
                  <c:v>43830</c:v>
                </c:pt>
                <c:pt idx="67">
                  <c:v>43861</c:v>
                </c:pt>
                <c:pt idx="68">
                  <c:v>43890</c:v>
                </c:pt>
                <c:pt idx="69">
                  <c:v>43921</c:v>
                </c:pt>
                <c:pt idx="70">
                  <c:v>43951</c:v>
                </c:pt>
                <c:pt idx="71">
                  <c:v>43982</c:v>
                </c:pt>
                <c:pt idx="72">
                  <c:v>44012</c:v>
                </c:pt>
                <c:pt idx="73">
                  <c:v>44043</c:v>
                </c:pt>
                <c:pt idx="74">
                  <c:v>44074</c:v>
                </c:pt>
                <c:pt idx="75">
                  <c:v>44104</c:v>
                </c:pt>
                <c:pt idx="76">
                  <c:v>44135</c:v>
                </c:pt>
                <c:pt idx="77">
                  <c:v>44165</c:v>
                </c:pt>
                <c:pt idx="78">
                  <c:v>44196</c:v>
                </c:pt>
                <c:pt idx="79">
                  <c:v>44227</c:v>
                </c:pt>
                <c:pt idx="80">
                  <c:v>44255</c:v>
                </c:pt>
                <c:pt idx="81">
                  <c:v>44286</c:v>
                </c:pt>
                <c:pt idx="82">
                  <c:v>44316</c:v>
                </c:pt>
                <c:pt idx="83">
                  <c:v>44347</c:v>
                </c:pt>
                <c:pt idx="84">
                  <c:v>44377</c:v>
                </c:pt>
                <c:pt idx="85">
                  <c:v>44408</c:v>
                </c:pt>
                <c:pt idx="86">
                  <c:v>44439</c:v>
                </c:pt>
                <c:pt idx="87">
                  <c:v>44469</c:v>
                </c:pt>
                <c:pt idx="88">
                  <c:v>44500</c:v>
                </c:pt>
                <c:pt idx="89">
                  <c:v>44530</c:v>
                </c:pt>
                <c:pt idx="90">
                  <c:v>44561</c:v>
                </c:pt>
                <c:pt idx="91">
                  <c:v>44592</c:v>
                </c:pt>
                <c:pt idx="92">
                  <c:v>44620</c:v>
                </c:pt>
                <c:pt idx="93">
                  <c:v>44651</c:v>
                </c:pt>
                <c:pt idx="94">
                  <c:v>44681</c:v>
                </c:pt>
                <c:pt idx="95">
                  <c:v>44712</c:v>
                </c:pt>
                <c:pt idx="96">
                  <c:v>44742</c:v>
                </c:pt>
                <c:pt idx="97">
                  <c:v>44773</c:v>
                </c:pt>
                <c:pt idx="98">
                  <c:v>44804</c:v>
                </c:pt>
                <c:pt idx="99">
                  <c:v>44834</c:v>
                </c:pt>
                <c:pt idx="100">
                  <c:v>44865</c:v>
                </c:pt>
                <c:pt idx="101">
                  <c:v>44895</c:v>
                </c:pt>
                <c:pt idx="102">
                  <c:v>44926</c:v>
                </c:pt>
                <c:pt idx="103">
                  <c:v>44957</c:v>
                </c:pt>
                <c:pt idx="104">
                  <c:v>44985</c:v>
                </c:pt>
                <c:pt idx="105">
                  <c:v>45016</c:v>
                </c:pt>
                <c:pt idx="106">
                  <c:v>45046</c:v>
                </c:pt>
                <c:pt idx="107">
                  <c:v>45077</c:v>
                </c:pt>
                <c:pt idx="108">
                  <c:v>45107</c:v>
                </c:pt>
                <c:pt idx="109">
                  <c:v>45138</c:v>
                </c:pt>
                <c:pt idx="110">
                  <c:v>45169</c:v>
                </c:pt>
                <c:pt idx="111">
                  <c:v>45199</c:v>
                </c:pt>
                <c:pt idx="112">
                  <c:v>45230</c:v>
                </c:pt>
                <c:pt idx="113">
                  <c:v>45260</c:v>
                </c:pt>
                <c:pt idx="114">
                  <c:v>45291</c:v>
                </c:pt>
                <c:pt idx="115">
                  <c:v>45322</c:v>
                </c:pt>
                <c:pt idx="116">
                  <c:v>45351</c:v>
                </c:pt>
                <c:pt idx="117">
                  <c:v>45382</c:v>
                </c:pt>
                <c:pt idx="118">
                  <c:v>45412</c:v>
                </c:pt>
                <c:pt idx="119">
                  <c:v>45443</c:v>
                </c:pt>
                <c:pt idx="120">
                  <c:v>45473</c:v>
                </c:pt>
                <c:pt idx="121">
                  <c:v>45504</c:v>
                </c:pt>
                <c:pt idx="122">
                  <c:v>45535</c:v>
                </c:pt>
                <c:pt idx="123">
                  <c:v>45565</c:v>
                </c:pt>
                <c:pt idx="124">
                  <c:v>45596</c:v>
                </c:pt>
                <c:pt idx="125">
                  <c:v>45626</c:v>
                </c:pt>
                <c:pt idx="126">
                  <c:v>45657</c:v>
                </c:pt>
                <c:pt idx="127">
                  <c:v>45688</c:v>
                </c:pt>
                <c:pt idx="128">
                  <c:v>45716</c:v>
                </c:pt>
                <c:pt idx="129">
                  <c:v>45747</c:v>
                </c:pt>
                <c:pt idx="130">
                  <c:v>45777</c:v>
                </c:pt>
                <c:pt idx="131">
                  <c:v>45808</c:v>
                </c:pt>
                <c:pt idx="132">
                  <c:v>45838</c:v>
                </c:pt>
              </c:numCache>
            </c:numRef>
          </c:cat>
          <c:val>
            <c:numRef>
              <c:f>'Categories - Chart'!$B$4:$EI$4</c:f>
              <c:numCache>
                <c:formatCode>"$"#,##0_);[Red]\("$"#,##0\)</c:formatCode>
                <c:ptCount val="138"/>
                <c:pt idx="0">
                  <c:v>192597.2</c:v>
                </c:pt>
                <c:pt idx="1">
                  <c:v>132407.31</c:v>
                </c:pt>
                <c:pt idx="2">
                  <c:v>126121.26999999999</c:v>
                </c:pt>
                <c:pt idx="3">
                  <c:v>139275.39000000001</c:v>
                </c:pt>
                <c:pt idx="4">
                  <c:v>128219.28</c:v>
                </c:pt>
                <c:pt idx="5">
                  <c:v>155637.45000000001</c:v>
                </c:pt>
                <c:pt idx="6">
                  <c:v>147698.21000000002</c:v>
                </c:pt>
                <c:pt idx="7">
                  <c:v>143174.1</c:v>
                </c:pt>
                <c:pt idx="8">
                  <c:v>165690.91</c:v>
                </c:pt>
                <c:pt idx="9">
                  <c:v>147013.09</c:v>
                </c:pt>
                <c:pt idx="10">
                  <c:v>140375.39000000001</c:v>
                </c:pt>
                <c:pt idx="11">
                  <c:v>148845.43</c:v>
                </c:pt>
                <c:pt idx="12">
                  <c:v>136134.08000000002</c:v>
                </c:pt>
                <c:pt idx="13">
                  <c:v>138909.68</c:v>
                </c:pt>
                <c:pt idx="14">
                  <c:v>148400.69</c:v>
                </c:pt>
                <c:pt idx="15">
                  <c:v>134761.96</c:v>
                </c:pt>
                <c:pt idx="16">
                  <c:v>128707.13</c:v>
                </c:pt>
                <c:pt idx="17">
                  <c:v>135908.58000000002</c:v>
                </c:pt>
                <c:pt idx="18">
                  <c:v>133156.66</c:v>
                </c:pt>
                <c:pt idx="19">
                  <c:v>142186.99</c:v>
                </c:pt>
                <c:pt idx="20">
                  <c:v>147160.52000000002</c:v>
                </c:pt>
                <c:pt idx="21">
                  <c:v>145675.04999999999</c:v>
                </c:pt>
                <c:pt idx="22">
                  <c:v>149258.5</c:v>
                </c:pt>
                <c:pt idx="23">
                  <c:v>154556.35</c:v>
                </c:pt>
                <c:pt idx="24">
                  <c:v>142741.99</c:v>
                </c:pt>
                <c:pt idx="25">
                  <c:v>132719.91999999998</c:v>
                </c:pt>
                <c:pt idx="26">
                  <c:v>135819.45000000001</c:v>
                </c:pt>
                <c:pt idx="27">
                  <c:v>128963.01999999999</c:v>
                </c:pt>
                <c:pt idx="28">
                  <c:v>129015.03</c:v>
                </c:pt>
                <c:pt idx="29">
                  <c:v>132477.26999999999</c:v>
                </c:pt>
                <c:pt idx="30">
                  <c:v>132535.02000000002</c:v>
                </c:pt>
                <c:pt idx="31">
                  <c:v>132074.35999999999</c:v>
                </c:pt>
                <c:pt idx="32">
                  <c:v>151950.88</c:v>
                </c:pt>
                <c:pt idx="33">
                  <c:v>147218.18</c:v>
                </c:pt>
                <c:pt idx="34">
                  <c:v>148791.74</c:v>
                </c:pt>
                <c:pt idx="35">
                  <c:v>165955.82</c:v>
                </c:pt>
                <c:pt idx="36">
                  <c:v>137882.64000000001</c:v>
                </c:pt>
                <c:pt idx="37">
                  <c:v>139488.31</c:v>
                </c:pt>
                <c:pt idx="38">
                  <c:v>145466.37</c:v>
                </c:pt>
                <c:pt idx="39">
                  <c:v>149133.69</c:v>
                </c:pt>
                <c:pt idx="40">
                  <c:v>150335.04000000001</c:v>
                </c:pt>
                <c:pt idx="41">
                  <c:v>151439.31999999998</c:v>
                </c:pt>
                <c:pt idx="42">
                  <c:v>160393.03</c:v>
                </c:pt>
                <c:pt idx="43">
                  <c:v>158316</c:v>
                </c:pt>
                <c:pt idx="44">
                  <c:v>177565.78999999998</c:v>
                </c:pt>
                <c:pt idx="45">
                  <c:v>170358.23</c:v>
                </c:pt>
                <c:pt idx="46">
                  <c:v>171615.77000000002</c:v>
                </c:pt>
                <c:pt idx="47">
                  <c:v>182783.53999999998</c:v>
                </c:pt>
                <c:pt idx="48">
                  <c:v>181191.65000000002</c:v>
                </c:pt>
                <c:pt idx="49">
                  <c:v>187538.6</c:v>
                </c:pt>
                <c:pt idx="50">
                  <c:v>210994.80000000002</c:v>
                </c:pt>
                <c:pt idx="51">
                  <c:v>219704.9</c:v>
                </c:pt>
                <c:pt idx="52">
                  <c:v>218188.91999999998</c:v>
                </c:pt>
                <c:pt idx="53">
                  <c:v>227684.56</c:v>
                </c:pt>
                <c:pt idx="54">
                  <c:v>220690.05</c:v>
                </c:pt>
                <c:pt idx="55">
                  <c:v>219664.63999999998</c:v>
                </c:pt>
                <c:pt idx="56">
                  <c:v>238136.6</c:v>
                </c:pt>
                <c:pt idx="57">
                  <c:v>218819.56</c:v>
                </c:pt>
                <c:pt idx="58">
                  <c:v>175041.74</c:v>
                </c:pt>
                <c:pt idx="59">
                  <c:v>210781.35</c:v>
                </c:pt>
                <c:pt idx="60">
                  <c:v>216096.24</c:v>
                </c:pt>
                <c:pt idx="61">
                  <c:v>212105.57</c:v>
                </c:pt>
                <c:pt idx="62">
                  <c:v>240215.78000000003</c:v>
                </c:pt>
                <c:pt idx="63">
                  <c:v>239562.58000000002</c:v>
                </c:pt>
                <c:pt idx="64">
                  <c:v>215176.81</c:v>
                </c:pt>
                <c:pt idx="65">
                  <c:v>224737.16999999998</c:v>
                </c:pt>
                <c:pt idx="66">
                  <c:v>224856.26</c:v>
                </c:pt>
                <c:pt idx="67">
                  <c:v>226626.59</c:v>
                </c:pt>
                <c:pt idx="68">
                  <c:v>221944.5</c:v>
                </c:pt>
                <c:pt idx="69">
                  <c:v>218781.86000000002</c:v>
                </c:pt>
                <c:pt idx="70">
                  <c:v>217245.38</c:v>
                </c:pt>
                <c:pt idx="71">
                  <c:v>236114.15</c:v>
                </c:pt>
                <c:pt idx="72">
                  <c:v>247994.78999999998</c:v>
                </c:pt>
                <c:pt idx="73">
                  <c:v>250996.11</c:v>
                </c:pt>
                <c:pt idx="74">
                  <c:v>271056.89</c:v>
                </c:pt>
                <c:pt idx="75">
                  <c:v>285766.46000000002</c:v>
                </c:pt>
                <c:pt idx="76">
                  <c:v>281087.59000000003</c:v>
                </c:pt>
                <c:pt idx="77">
                  <c:v>297346.23</c:v>
                </c:pt>
                <c:pt idx="78">
                  <c:v>224098.08000000002</c:v>
                </c:pt>
                <c:pt idx="79">
                  <c:v>229857.40999999997</c:v>
                </c:pt>
                <c:pt idx="80">
                  <c:v>221085.81</c:v>
                </c:pt>
                <c:pt idx="81">
                  <c:v>221238.69</c:v>
                </c:pt>
                <c:pt idx="82">
                  <c:v>228711.74000000002</c:v>
                </c:pt>
                <c:pt idx="83">
                  <c:v>261619.61</c:v>
                </c:pt>
                <c:pt idx="84">
                  <c:v>262869.82</c:v>
                </c:pt>
                <c:pt idx="85">
                  <c:v>267681.45999999996</c:v>
                </c:pt>
                <c:pt idx="86">
                  <c:v>256884.52</c:v>
                </c:pt>
                <c:pt idx="87">
                  <c:v>254302.98</c:v>
                </c:pt>
                <c:pt idx="88">
                  <c:v>255405.57</c:v>
                </c:pt>
                <c:pt idx="89">
                  <c:v>256651.71</c:v>
                </c:pt>
                <c:pt idx="90">
                  <c:v>264336.71000000002</c:v>
                </c:pt>
                <c:pt idx="91">
                  <c:v>226281.35</c:v>
                </c:pt>
                <c:pt idx="92">
                  <c:v>236994.6</c:v>
                </c:pt>
                <c:pt idx="93">
                  <c:v>213698.08</c:v>
                </c:pt>
                <c:pt idx="94">
                  <c:v>205725.69</c:v>
                </c:pt>
                <c:pt idx="95">
                  <c:v>206680.43</c:v>
                </c:pt>
                <c:pt idx="96">
                  <c:v>209339.49</c:v>
                </c:pt>
                <c:pt idx="97">
                  <c:v>213354.37</c:v>
                </c:pt>
                <c:pt idx="98">
                  <c:v>220742.18000000002</c:v>
                </c:pt>
                <c:pt idx="99">
                  <c:v>217738.33</c:v>
                </c:pt>
                <c:pt idx="100">
                  <c:v>212185.13</c:v>
                </c:pt>
                <c:pt idx="101">
                  <c:v>222834.22</c:v>
                </c:pt>
                <c:pt idx="102">
                  <c:v>218893.92</c:v>
                </c:pt>
                <c:pt idx="103">
                  <c:v>221010.7</c:v>
                </c:pt>
                <c:pt idx="104">
                  <c:v>232199.88999999998</c:v>
                </c:pt>
                <c:pt idx="105">
                  <c:v>228640.79</c:v>
                </c:pt>
                <c:pt idx="106">
                  <c:v>234761</c:v>
                </c:pt>
                <c:pt idx="107">
                  <c:v>237887.19999999998</c:v>
                </c:pt>
                <c:pt idx="108">
                  <c:v>239549.69999999998</c:v>
                </c:pt>
                <c:pt idx="109">
                  <c:v>245569.03</c:v>
                </c:pt>
                <c:pt idx="110">
                  <c:v>251705.97999999998</c:v>
                </c:pt>
                <c:pt idx="111">
                  <c:v>258289.78</c:v>
                </c:pt>
                <c:pt idx="112">
                  <c:v>268869.65999999997</c:v>
                </c:pt>
                <c:pt idx="113">
                  <c:v>289134.31</c:v>
                </c:pt>
                <c:pt idx="114">
                  <c:v>258506.12</c:v>
                </c:pt>
                <c:pt idx="115">
                  <c:v>268796.62</c:v>
                </c:pt>
                <c:pt idx="116">
                  <c:v>264336.2</c:v>
                </c:pt>
                <c:pt idx="117">
                  <c:v>277094.44</c:v>
                </c:pt>
                <c:pt idx="118">
                  <c:v>274190.57</c:v>
                </c:pt>
                <c:pt idx="119">
                  <c:v>283686.49</c:v>
                </c:pt>
                <c:pt idx="120">
                  <c:v>293719.07</c:v>
                </c:pt>
                <c:pt idx="121">
                  <c:v>288175.35999999999</c:v>
                </c:pt>
                <c:pt idx="122">
                  <c:v>300833.07</c:v>
                </c:pt>
                <c:pt idx="123">
                  <c:v>336457.3</c:v>
                </c:pt>
                <c:pt idx="124">
                  <c:v>312423.59999999998</c:v>
                </c:pt>
                <c:pt idx="125">
                  <c:v>324171.63</c:v>
                </c:pt>
                <c:pt idx="126">
                  <c:v>329688.44</c:v>
                </c:pt>
                <c:pt idx="127">
                  <c:v>343268.81</c:v>
                </c:pt>
                <c:pt idx="128">
                  <c:v>354366.6</c:v>
                </c:pt>
                <c:pt idx="129">
                  <c:v>367263.95</c:v>
                </c:pt>
                <c:pt idx="130">
                  <c:v>358680.83</c:v>
                </c:pt>
                <c:pt idx="131">
                  <c:v>369579.23</c:v>
                </c:pt>
                <c:pt idx="132">
                  <c:v>386101.3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2-4172-9808-3A74627EBED5}"/>
            </c:ext>
          </c:extLst>
        </c:ser>
        <c:ser>
          <c:idx val="3"/>
          <c:order val="3"/>
          <c:tx>
            <c:strRef>
              <c:f>'Categories - Chart'!$A$5</c:f>
              <c:strCache>
                <c:ptCount val="1"/>
                <c:pt idx="0">
                  <c:v>residential owner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'Categories - Chart'!$B$1:$EI$1</c:f>
              <c:numCache>
                <c:formatCode>m/d/yyyy</c:formatCode>
                <c:ptCount val="138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41790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  <c:pt idx="61">
                  <c:v>43677</c:v>
                </c:pt>
                <c:pt idx="62">
                  <c:v>43708</c:v>
                </c:pt>
                <c:pt idx="63">
                  <c:v>43738</c:v>
                </c:pt>
                <c:pt idx="64">
                  <c:v>43769</c:v>
                </c:pt>
                <c:pt idx="65">
                  <c:v>43799</c:v>
                </c:pt>
                <c:pt idx="66">
                  <c:v>43830</c:v>
                </c:pt>
                <c:pt idx="67">
                  <c:v>43861</c:v>
                </c:pt>
                <c:pt idx="68">
                  <c:v>43890</c:v>
                </c:pt>
                <c:pt idx="69">
                  <c:v>43921</c:v>
                </c:pt>
                <c:pt idx="70">
                  <c:v>43951</c:v>
                </c:pt>
                <c:pt idx="71">
                  <c:v>43982</c:v>
                </c:pt>
                <c:pt idx="72">
                  <c:v>44012</c:v>
                </c:pt>
                <c:pt idx="73">
                  <c:v>44043</c:v>
                </c:pt>
                <c:pt idx="74">
                  <c:v>44074</c:v>
                </c:pt>
                <c:pt idx="75">
                  <c:v>44104</c:v>
                </c:pt>
                <c:pt idx="76">
                  <c:v>44135</c:v>
                </c:pt>
                <c:pt idx="77">
                  <c:v>44165</c:v>
                </c:pt>
                <c:pt idx="78">
                  <c:v>44196</c:v>
                </c:pt>
                <c:pt idx="79">
                  <c:v>44227</c:v>
                </c:pt>
                <c:pt idx="80">
                  <c:v>44255</c:v>
                </c:pt>
                <c:pt idx="81">
                  <c:v>44286</c:v>
                </c:pt>
                <c:pt idx="82">
                  <c:v>44316</c:v>
                </c:pt>
                <c:pt idx="83">
                  <c:v>44347</c:v>
                </c:pt>
                <c:pt idx="84">
                  <c:v>44377</c:v>
                </c:pt>
                <c:pt idx="85">
                  <c:v>44408</c:v>
                </c:pt>
                <c:pt idx="86">
                  <c:v>44439</c:v>
                </c:pt>
                <c:pt idx="87">
                  <c:v>44469</c:v>
                </c:pt>
                <c:pt idx="88">
                  <c:v>44500</c:v>
                </c:pt>
                <c:pt idx="89">
                  <c:v>44530</c:v>
                </c:pt>
                <c:pt idx="90">
                  <c:v>44561</c:v>
                </c:pt>
                <c:pt idx="91">
                  <c:v>44592</c:v>
                </c:pt>
                <c:pt idx="92">
                  <c:v>44620</c:v>
                </c:pt>
                <c:pt idx="93">
                  <c:v>44651</c:v>
                </c:pt>
                <c:pt idx="94">
                  <c:v>44681</c:v>
                </c:pt>
                <c:pt idx="95">
                  <c:v>44712</c:v>
                </c:pt>
                <c:pt idx="96">
                  <c:v>44742</c:v>
                </c:pt>
                <c:pt idx="97">
                  <c:v>44773</c:v>
                </c:pt>
                <c:pt idx="98">
                  <c:v>44804</c:v>
                </c:pt>
                <c:pt idx="99">
                  <c:v>44834</c:v>
                </c:pt>
                <c:pt idx="100">
                  <c:v>44865</c:v>
                </c:pt>
                <c:pt idx="101">
                  <c:v>44895</c:v>
                </c:pt>
                <c:pt idx="102">
                  <c:v>44926</c:v>
                </c:pt>
                <c:pt idx="103">
                  <c:v>44957</c:v>
                </c:pt>
                <c:pt idx="104">
                  <c:v>44985</c:v>
                </c:pt>
                <c:pt idx="105">
                  <c:v>45016</c:v>
                </c:pt>
                <c:pt idx="106">
                  <c:v>45046</c:v>
                </c:pt>
                <c:pt idx="107">
                  <c:v>45077</c:v>
                </c:pt>
                <c:pt idx="108">
                  <c:v>45107</c:v>
                </c:pt>
                <c:pt idx="109">
                  <c:v>45138</c:v>
                </c:pt>
                <c:pt idx="110">
                  <c:v>45169</c:v>
                </c:pt>
                <c:pt idx="111">
                  <c:v>45199</c:v>
                </c:pt>
                <c:pt idx="112">
                  <c:v>45230</c:v>
                </c:pt>
                <c:pt idx="113">
                  <c:v>45260</c:v>
                </c:pt>
                <c:pt idx="114">
                  <c:v>45291</c:v>
                </c:pt>
                <c:pt idx="115">
                  <c:v>45322</c:v>
                </c:pt>
                <c:pt idx="116">
                  <c:v>45351</c:v>
                </c:pt>
                <c:pt idx="117">
                  <c:v>45382</c:v>
                </c:pt>
                <c:pt idx="118">
                  <c:v>45412</c:v>
                </c:pt>
                <c:pt idx="119">
                  <c:v>45443</c:v>
                </c:pt>
                <c:pt idx="120">
                  <c:v>45473</c:v>
                </c:pt>
                <c:pt idx="121">
                  <c:v>45504</c:v>
                </c:pt>
                <c:pt idx="122">
                  <c:v>45535</c:v>
                </c:pt>
                <c:pt idx="123">
                  <c:v>45565</c:v>
                </c:pt>
                <c:pt idx="124">
                  <c:v>45596</c:v>
                </c:pt>
                <c:pt idx="125">
                  <c:v>45626</c:v>
                </c:pt>
                <c:pt idx="126">
                  <c:v>45657</c:v>
                </c:pt>
                <c:pt idx="127">
                  <c:v>45688</c:v>
                </c:pt>
                <c:pt idx="128">
                  <c:v>45716</c:v>
                </c:pt>
                <c:pt idx="129">
                  <c:v>45747</c:v>
                </c:pt>
                <c:pt idx="130">
                  <c:v>45777</c:v>
                </c:pt>
                <c:pt idx="131">
                  <c:v>45808</c:v>
                </c:pt>
                <c:pt idx="132">
                  <c:v>45838</c:v>
                </c:pt>
              </c:numCache>
            </c:numRef>
          </c:cat>
          <c:val>
            <c:numRef>
              <c:f>'Categories - Chart'!$B$5:$EI$5</c:f>
              <c:numCache>
                <c:formatCode>"$"#,##0_);[Red]\("$"#,##0\)</c:formatCode>
                <c:ptCount val="138"/>
                <c:pt idx="0">
                  <c:v>647564.35</c:v>
                </c:pt>
                <c:pt idx="1">
                  <c:v>575802.04</c:v>
                </c:pt>
                <c:pt idx="2">
                  <c:v>596381.49</c:v>
                </c:pt>
                <c:pt idx="3">
                  <c:v>596496.54</c:v>
                </c:pt>
                <c:pt idx="4">
                  <c:v>562342.44000000006</c:v>
                </c:pt>
                <c:pt idx="5">
                  <c:v>611970.96</c:v>
                </c:pt>
                <c:pt idx="6">
                  <c:v>616966.6399999999</c:v>
                </c:pt>
                <c:pt idx="7">
                  <c:v>601167.54</c:v>
                </c:pt>
                <c:pt idx="8">
                  <c:v>633672.03</c:v>
                </c:pt>
                <c:pt idx="9">
                  <c:v>602331.24</c:v>
                </c:pt>
                <c:pt idx="10">
                  <c:v>567518.6</c:v>
                </c:pt>
                <c:pt idx="11">
                  <c:v>596047.66999999993</c:v>
                </c:pt>
                <c:pt idx="12">
                  <c:v>628986.10000000009</c:v>
                </c:pt>
                <c:pt idx="13">
                  <c:v>574147.78</c:v>
                </c:pt>
                <c:pt idx="14">
                  <c:v>584874.41999999993</c:v>
                </c:pt>
                <c:pt idx="15">
                  <c:v>573344.97</c:v>
                </c:pt>
                <c:pt idx="16">
                  <c:v>556078.90999999992</c:v>
                </c:pt>
                <c:pt idx="17">
                  <c:v>585446.87</c:v>
                </c:pt>
                <c:pt idx="18">
                  <c:v>573023.09</c:v>
                </c:pt>
                <c:pt idx="19">
                  <c:v>582882.85</c:v>
                </c:pt>
                <c:pt idx="20">
                  <c:v>610001.39</c:v>
                </c:pt>
                <c:pt idx="21">
                  <c:v>600746.54</c:v>
                </c:pt>
                <c:pt idx="22">
                  <c:v>591259.72</c:v>
                </c:pt>
                <c:pt idx="23">
                  <c:v>643667.18999999994</c:v>
                </c:pt>
                <c:pt idx="24">
                  <c:v>621694.05000000005</c:v>
                </c:pt>
                <c:pt idx="25">
                  <c:v>575608.67000000004</c:v>
                </c:pt>
                <c:pt idx="26">
                  <c:v>572608</c:v>
                </c:pt>
                <c:pt idx="27">
                  <c:v>557406.09000000008</c:v>
                </c:pt>
                <c:pt idx="28">
                  <c:v>566565.61</c:v>
                </c:pt>
                <c:pt idx="29">
                  <c:v>580780.97</c:v>
                </c:pt>
                <c:pt idx="30">
                  <c:v>581959.42000000004</c:v>
                </c:pt>
                <c:pt idx="31">
                  <c:v>584680.02</c:v>
                </c:pt>
                <c:pt idx="32">
                  <c:v>611316.03</c:v>
                </c:pt>
                <c:pt idx="33">
                  <c:v>585156.92000000004</c:v>
                </c:pt>
                <c:pt idx="34">
                  <c:v>578586.27</c:v>
                </c:pt>
                <c:pt idx="35">
                  <c:v>609254.01</c:v>
                </c:pt>
                <c:pt idx="36">
                  <c:v>596485.01</c:v>
                </c:pt>
                <c:pt idx="37">
                  <c:v>562131.5</c:v>
                </c:pt>
                <c:pt idx="38">
                  <c:v>590049.96</c:v>
                </c:pt>
                <c:pt idx="39">
                  <c:v>581431.29</c:v>
                </c:pt>
                <c:pt idx="40">
                  <c:v>573976.44000000006</c:v>
                </c:pt>
                <c:pt idx="41">
                  <c:v>607551.97</c:v>
                </c:pt>
                <c:pt idx="42">
                  <c:v>629974.05999999994</c:v>
                </c:pt>
                <c:pt idx="43">
                  <c:v>627507.84000000008</c:v>
                </c:pt>
                <c:pt idx="44">
                  <c:v>634925.99</c:v>
                </c:pt>
                <c:pt idx="45">
                  <c:v>663354.07000000007</c:v>
                </c:pt>
                <c:pt idx="46">
                  <c:v>652388.31000000006</c:v>
                </c:pt>
                <c:pt idx="47">
                  <c:v>664801.65</c:v>
                </c:pt>
                <c:pt idx="48">
                  <c:v>682832.17</c:v>
                </c:pt>
                <c:pt idx="49">
                  <c:v>649225.5199999999</c:v>
                </c:pt>
                <c:pt idx="50">
                  <c:v>672218.79</c:v>
                </c:pt>
                <c:pt idx="51">
                  <c:v>685595.62</c:v>
                </c:pt>
                <c:pt idx="52">
                  <c:v>668874.4</c:v>
                </c:pt>
                <c:pt idx="53">
                  <c:v>678309.08000000007</c:v>
                </c:pt>
                <c:pt idx="54">
                  <c:v>692145.41999999993</c:v>
                </c:pt>
                <c:pt idx="55">
                  <c:v>656403.8600000001</c:v>
                </c:pt>
                <c:pt idx="56">
                  <c:v>677669.94</c:v>
                </c:pt>
                <c:pt idx="57">
                  <c:v>679791.42</c:v>
                </c:pt>
                <c:pt idx="58">
                  <c:v>652423.4</c:v>
                </c:pt>
                <c:pt idx="59">
                  <c:v>658209.99</c:v>
                </c:pt>
                <c:pt idx="60">
                  <c:v>669057.41</c:v>
                </c:pt>
                <c:pt idx="61">
                  <c:v>657249.61</c:v>
                </c:pt>
                <c:pt idx="62">
                  <c:v>675110.73</c:v>
                </c:pt>
                <c:pt idx="63">
                  <c:v>664336.97</c:v>
                </c:pt>
                <c:pt idx="64">
                  <c:v>639095.04000000004</c:v>
                </c:pt>
                <c:pt idx="65">
                  <c:v>659020.31000000006</c:v>
                </c:pt>
                <c:pt idx="66">
                  <c:v>661154.08000000007</c:v>
                </c:pt>
                <c:pt idx="67">
                  <c:v>654897.56000000006</c:v>
                </c:pt>
                <c:pt idx="68">
                  <c:v>673811.49</c:v>
                </c:pt>
                <c:pt idx="69">
                  <c:v>676268.64999999991</c:v>
                </c:pt>
                <c:pt idx="70">
                  <c:v>676780.7</c:v>
                </c:pt>
                <c:pt idx="71">
                  <c:v>714312.27999999991</c:v>
                </c:pt>
                <c:pt idx="72">
                  <c:v>717524.36</c:v>
                </c:pt>
                <c:pt idx="73">
                  <c:v>654442.79</c:v>
                </c:pt>
                <c:pt idx="74">
                  <c:v>699209.1399999999</c:v>
                </c:pt>
                <c:pt idx="75">
                  <c:v>697797.74</c:v>
                </c:pt>
                <c:pt idx="76">
                  <c:v>696389.78</c:v>
                </c:pt>
                <c:pt idx="77">
                  <c:v>724246.27999999991</c:v>
                </c:pt>
                <c:pt idx="78">
                  <c:v>706115.64999999991</c:v>
                </c:pt>
                <c:pt idx="79">
                  <c:v>717553.05999999994</c:v>
                </c:pt>
                <c:pt idx="80">
                  <c:v>744364.14999999991</c:v>
                </c:pt>
                <c:pt idx="81">
                  <c:v>751481.40999999992</c:v>
                </c:pt>
                <c:pt idx="82">
                  <c:v>742943.79</c:v>
                </c:pt>
                <c:pt idx="83">
                  <c:v>792688.01</c:v>
                </c:pt>
                <c:pt idx="84">
                  <c:v>782243.01</c:v>
                </c:pt>
                <c:pt idx="85">
                  <c:v>774033.53</c:v>
                </c:pt>
                <c:pt idx="86">
                  <c:v>808059.5</c:v>
                </c:pt>
                <c:pt idx="87">
                  <c:v>790663.11</c:v>
                </c:pt>
                <c:pt idx="88">
                  <c:v>783821.81</c:v>
                </c:pt>
                <c:pt idx="89">
                  <c:v>769047.2699999999</c:v>
                </c:pt>
                <c:pt idx="90">
                  <c:v>763654.72</c:v>
                </c:pt>
                <c:pt idx="91">
                  <c:v>775428.5</c:v>
                </c:pt>
                <c:pt idx="92">
                  <c:v>799350.56</c:v>
                </c:pt>
                <c:pt idx="93">
                  <c:v>747747.46</c:v>
                </c:pt>
                <c:pt idx="94">
                  <c:v>736266.69000000006</c:v>
                </c:pt>
                <c:pt idx="95">
                  <c:v>749220.87999999989</c:v>
                </c:pt>
                <c:pt idx="96">
                  <c:v>756939.62</c:v>
                </c:pt>
                <c:pt idx="97">
                  <c:v>744805.24</c:v>
                </c:pt>
                <c:pt idx="98">
                  <c:v>744818.04</c:v>
                </c:pt>
                <c:pt idx="99">
                  <c:v>728617.56</c:v>
                </c:pt>
                <c:pt idx="100">
                  <c:v>686326.27</c:v>
                </c:pt>
                <c:pt idx="101">
                  <c:v>716410.24</c:v>
                </c:pt>
                <c:pt idx="102">
                  <c:v>701789.6</c:v>
                </c:pt>
                <c:pt idx="103">
                  <c:v>704563.37</c:v>
                </c:pt>
                <c:pt idx="104">
                  <c:v>812484.03</c:v>
                </c:pt>
                <c:pt idx="105">
                  <c:v>802687.58</c:v>
                </c:pt>
                <c:pt idx="106">
                  <c:v>803437.87</c:v>
                </c:pt>
                <c:pt idx="107">
                  <c:v>822203.48</c:v>
                </c:pt>
                <c:pt idx="108">
                  <c:v>828188.19000000006</c:v>
                </c:pt>
                <c:pt idx="109">
                  <c:v>829766.66999999993</c:v>
                </c:pt>
                <c:pt idx="110">
                  <c:v>845716.35</c:v>
                </c:pt>
                <c:pt idx="111">
                  <c:v>850618.30999999994</c:v>
                </c:pt>
                <c:pt idx="112">
                  <c:v>853312.23</c:v>
                </c:pt>
                <c:pt idx="113">
                  <c:v>875457.20000000007</c:v>
                </c:pt>
                <c:pt idx="114">
                  <c:v>879484.37</c:v>
                </c:pt>
                <c:pt idx="115">
                  <c:v>884394.59</c:v>
                </c:pt>
                <c:pt idx="116">
                  <c:v>895785.16</c:v>
                </c:pt>
                <c:pt idx="117">
                  <c:v>896112.08</c:v>
                </c:pt>
                <c:pt idx="118">
                  <c:v>880747.53</c:v>
                </c:pt>
                <c:pt idx="119">
                  <c:v>909795.73</c:v>
                </c:pt>
                <c:pt idx="120">
                  <c:v>957691.29</c:v>
                </c:pt>
                <c:pt idx="121">
                  <c:v>937047.76</c:v>
                </c:pt>
                <c:pt idx="122">
                  <c:v>963993.56</c:v>
                </c:pt>
                <c:pt idx="123">
                  <c:v>996328.36</c:v>
                </c:pt>
                <c:pt idx="124">
                  <c:v>958421.46</c:v>
                </c:pt>
                <c:pt idx="125">
                  <c:v>993878.54999999993</c:v>
                </c:pt>
                <c:pt idx="126">
                  <c:v>1017534.64</c:v>
                </c:pt>
                <c:pt idx="127">
                  <c:v>1011504.52</c:v>
                </c:pt>
                <c:pt idx="128">
                  <c:v>1043959.8</c:v>
                </c:pt>
                <c:pt idx="129">
                  <c:v>1065041.81</c:v>
                </c:pt>
                <c:pt idx="130">
                  <c:v>1029625.46</c:v>
                </c:pt>
                <c:pt idx="131">
                  <c:v>1055601.3700000001</c:v>
                </c:pt>
                <c:pt idx="132">
                  <c:v>1075842.73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2-4172-9808-3A74627EBED5}"/>
            </c:ext>
          </c:extLst>
        </c:ser>
        <c:ser>
          <c:idx val="4"/>
          <c:order val="4"/>
          <c:tx>
            <c:strRef>
              <c:f>'Categories - Chart'!$A$6</c:f>
              <c:strCache>
                <c:ptCount val="1"/>
                <c:pt idx="0">
                  <c:v>residential tenant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'Categories - Chart'!$B$1:$EI$1</c:f>
              <c:numCache>
                <c:formatCode>m/d/yyyy</c:formatCode>
                <c:ptCount val="138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41790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  <c:pt idx="61">
                  <c:v>43677</c:v>
                </c:pt>
                <c:pt idx="62">
                  <c:v>43708</c:v>
                </c:pt>
                <c:pt idx="63">
                  <c:v>43738</c:v>
                </c:pt>
                <c:pt idx="64">
                  <c:v>43769</c:v>
                </c:pt>
                <c:pt idx="65">
                  <c:v>43799</c:v>
                </c:pt>
                <c:pt idx="66">
                  <c:v>43830</c:v>
                </c:pt>
                <c:pt idx="67">
                  <c:v>43861</c:v>
                </c:pt>
                <c:pt idx="68">
                  <c:v>43890</c:v>
                </c:pt>
                <c:pt idx="69">
                  <c:v>43921</c:v>
                </c:pt>
                <c:pt idx="70">
                  <c:v>43951</c:v>
                </c:pt>
                <c:pt idx="71">
                  <c:v>43982</c:v>
                </c:pt>
                <c:pt idx="72">
                  <c:v>44012</c:v>
                </c:pt>
                <c:pt idx="73">
                  <c:v>44043</c:v>
                </c:pt>
                <c:pt idx="74">
                  <c:v>44074</c:v>
                </c:pt>
                <c:pt idx="75">
                  <c:v>44104</c:v>
                </c:pt>
                <c:pt idx="76">
                  <c:v>44135</c:v>
                </c:pt>
                <c:pt idx="77">
                  <c:v>44165</c:v>
                </c:pt>
                <c:pt idx="78">
                  <c:v>44196</c:v>
                </c:pt>
                <c:pt idx="79">
                  <c:v>44227</c:v>
                </c:pt>
                <c:pt idx="80">
                  <c:v>44255</c:v>
                </c:pt>
                <c:pt idx="81">
                  <c:v>44286</c:v>
                </c:pt>
                <c:pt idx="82">
                  <c:v>44316</c:v>
                </c:pt>
                <c:pt idx="83">
                  <c:v>44347</c:v>
                </c:pt>
                <c:pt idx="84">
                  <c:v>44377</c:v>
                </c:pt>
                <c:pt idx="85">
                  <c:v>44408</c:v>
                </c:pt>
                <c:pt idx="86">
                  <c:v>44439</c:v>
                </c:pt>
                <c:pt idx="87">
                  <c:v>44469</c:v>
                </c:pt>
                <c:pt idx="88">
                  <c:v>44500</c:v>
                </c:pt>
                <c:pt idx="89">
                  <c:v>44530</c:v>
                </c:pt>
                <c:pt idx="90">
                  <c:v>44561</c:v>
                </c:pt>
                <c:pt idx="91">
                  <c:v>44592</c:v>
                </c:pt>
                <c:pt idx="92">
                  <c:v>44620</c:v>
                </c:pt>
                <c:pt idx="93">
                  <c:v>44651</c:v>
                </c:pt>
                <c:pt idx="94">
                  <c:v>44681</c:v>
                </c:pt>
                <c:pt idx="95">
                  <c:v>44712</c:v>
                </c:pt>
                <c:pt idx="96">
                  <c:v>44742</c:v>
                </c:pt>
                <c:pt idx="97">
                  <c:v>44773</c:v>
                </c:pt>
                <c:pt idx="98">
                  <c:v>44804</c:v>
                </c:pt>
                <c:pt idx="99">
                  <c:v>44834</c:v>
                </c:pt>
                <c:pt idx="100">
                  <c:v>44865</c:v>
                </c:pt>
                <c:pt idx="101">
                  <c:v>44895</c:v>
                </c:pt>
                <c:pt idx="102">
                  <c:v>44926</c:v>
                </c:pt>
                <c:pt idx="103">
                  <c:v>44957</c:v>
                </c:pt>
                <c:pt idx="104">
                  <c:v>44985</c:v>
                </c:pt>
                <c:pt idx="105">
                  <c:v>45016</c:v>
                </c:pt>
                <c:pt idx="106">
                  <c:v>45046</c:v>
                </c:pt>
                <c:pt idx="107">
                  <c:v>45077</c:v>
                </c:pt>
                <c:pt idx="108">
                  <c:v>45107</c:v>
                </c:pt>
                <c:pt idx="109">
                  <c:v>45138</c:v>
                </c:pt>
                <c:pt idx="110">
                  <c:v>45169</c:v>
                </c:pt>
                <c:pt idx="111">
                  <c:v>45199</c:v>
                </c:pt>
                <c:pt idx="112">
                  <c:v>45230</c:v>
                </c:pt>
                <c:pt idx="113">
                  <c:v>45260</c:v>
                </c:pt>
                <c:pt idx="114">
                  <c:v>45291</c:v>
                </c:pt>
                <c:pt idx="115">
                  <c:v>45322</c:v>
                </c:pt>
                <c:pt idx="116">
                  <c:v>45351</c:v>
                </c:pt>
                <c:pt idx="117">
                  <c:v>45382</c:v>
                </c:pt>
                <c:pt idx="118">
                  <c:v>45412</c:v>
                </c:pt>
                <c:pt idx="119">
                  <c:v>45443</c:v>
                </c:pt>
                <c:pt idx="120">
                  <c:v>45473</c:v>
                </c:pt>
                <c:pt idx="121">
                  <c:v>45504</c:v>
                </c:pt>
                <c:pt idx="122">
                  <c:v>45535</c:v>
                </c:pt>
                <c:pt idx="123">
                  <c:v>45565</c:v>
                </c:pt>
                <c:pt idx="124">
                  <c:v>45596</c:v>
                </c:pt>
                <c:pt idx="125">
                  <c:v>45626</c:v>
                </c:pt>
                <c:pt idx="126">
                  <c:v>45657</c:v>
                </c:pt>
                <c:pt idx="127">
                  <c:v>45688</c:v>
                </c:pt>
                <c:pt idx="128">
                  <c:v>45716</c:v>
                </c:pt>
                <c:pt idx="129">
                  <c:v>45747</c:v>
                </c:pt>
                <c:pt idx="130">
                  <c:v>45777</c:v>
                </c:pt>
                <c:pt idx="131">
                  <c:v>45808</c:v>
                </c:pt>
                <c:pt idx="132">
                  <c:v>45838</c:v>
                </c:pt>
              </c:numCache>
            </c:numRef>
          </c:cat>
          <c:val>
            <c:numRef>
              <c:f>'Categories - Chart'!$B$6:$EI$6</c:f>
              <c:numCache>
                <c:formatCode>"$"#,##0_);[Red]\("$"#,##0\)</c:formatCode>
                <c:ptCount val="138"/>
                <c:pt idx="0">
                  <c:v>191192.32000000001</c:v>
                </c:pt>
                <c:pt idx="1">
                  <c:v>158152.58000000002</c:v>
                </c:pt>
                <c:pt idx="2">
                  <c:v>147533.87</c:v>
                </c:pt>
                <c:pt idx="3">
                  <c:v>142545.82</c:v>
                </c:pt>
                <c:pt idx="4">
                  <c:v>127403.58</c:v>
                </c:pt>
                <c:pt idx="5">
                  <c:v>132859.09</c:v>
                </c:pt>
                <c:pt idx="6">
                  <c:v>129863.20999999999</c:v>
                </c:pt>
                <c:pt idx="7">
                  <c:v>123586.96</c:v>
                </c:pt>
                <c:pt idx="8">
                  <c:v>136200.91</c:v>
                </c:pt>
                <c:pt idx="9">
                  <c:v>135828.15</c:v>
                </c:pt>
                <c:pt idx="10">
                  <c:v>132015.53</c:v>
                </c:pt>
                <c:pt idx="11">
                  <c:v>150780.53999999998</c:v>
                </c:pt>
                <c:pt idx="12">
                  <c:v>155291.18</c:v>
                </c:pt>
                <c:pt idx="13">
                  <c:v>125195.23</c:v>
                </c:pt>
                <c:pt idx="14">
                  <c:v>114090.41</c:v>
                </c:pt>
                <c:pt idx="15">
                  <c:v>109982.85</c:v>
                </c:pt>
                <c:pt idx="16">
                  <c:v>104584.23000000001</c:v>
                </c:pt>
                <c:pt idx="17">
                  <c:v>113920.17</c:v>
                </c:pt>
                <c:pt idx="18">
                  <c:v>115089.02</c:v>
                </c:pt>
                <c:pt idx="19">
                  <c:v>112806.26000000001</c:v>
                </c:pt>
                <c:pt idx="20">
                  <c:v>122713.54000000001</c:v>
                </c:pt>
                <c:pt idx="21">
                  <c:v>122306.98000000001</c:v>
                </c:pt>
                <c:pt idx="22">
                  <c:v>121708.41</c:v>
                </c:pt>
                <c:pt idx="23">
                  <c:v>158450.41</c:v>
                </c:pt>
                <c:pt idx="24">
                  <c:v>148989.93</c:v>
                </c:pt>
                <c:pt idx="25">
                  <c:v>126555.93</c:v>
                </c:pt>
                <c:pt idx="26">
                  <c:v>121021.08</c:v>
                </c:pt>
                <c:pt idx="27">
                  <c:v>97138.5</c:v>
                </c:pt>
                <c:pt idx="28">
                  <c:v>97431.38</c:v>
                </c:pt>
                <c:pt idx="29">
                  <c:v>111540.9</c:v>
                </c:pt>
                <c:pt idx="30">
                  <c:v>104265.27</c:v>
                </c:pt>
                <c:pt idx="31">
                  <c:v>116243.36000000002</c:v>
                </c:pt>
                <c:pt idx="32">
                  <c:v>124232.87</c:v>
                </c:pt>
                <c:pt idx="33">
                  <c:v>113392.3</c:v>
                </c:pt>
                <c:pt idx="34">
                  <c:v>114316.9</c:v>
                </c:pt>
                <c:pt idx="35">
                  <c:v>142490.25</c:v>
                </c:pt>
                <c:pt idx="36">
                  <c:v>131495.9</c:v>
                </c:pt>
                <c:pt idx="37">
                  <c:v>108842.36</c:v>
                </c:pt>
                <c:pt idx="38">
                  <c:v>109692.73999999999</c:v>
                </c:pt>
                <c:pt idx="39">
                  <c:v>95975.069999999992</c:v>
                </c:pt>
                <c:pt idx="40">
                  <c:v>83869.399999999994</c:v>
                </c:pt>
                <c:pt idx="41">
                  <c:v>95917.15</c:v>
                </c:pt>
                <c:pt idx="42">
                  <c:v>99497.79</c:v>
                </c:pt>
                <c:pt idx="43">
                  <c:v>99837.88</c:v>
                </c:pt>
                <c:pt idx="44">
                  <c:v>116471.4</c:v>
                </c:pt>
                <c:pt idx="45">
                  <c:v>118585.4</c:v>
                </c:pt>
                <c:pt idx="46">
                  <c:v>110402.69</c:v>
                </c:pt>
                <c:pt idx="47">
                  <c:v>132783.08000000002</c:v>
                </c:pt>
                <c:pt idx="48">
                  <c:v>132584.18</c:v>
                </c:pt>
                <c:pt idx="49">
                  <c:v>119456.23</c:v>
                </c:pt>
                <c:pt idx="50">
                  <c:v>128674.92</c:v>
                </c:pt>
                <c:pt idx="51">
                  <c:v>124145.37</c:v>
                </c:pt>
                <c:pt idx="52">
                  <c:v>114031.72</c:v>
                </c:pt>
                <c:pt idx="53">
                  <c:v>106942.87</c:v>
                </c:pt>
                <c:pt idx="54">
                  <c:v>121559.81</c:v>
                </c:pt>
                <c:pt idx="55">
                  <c:v>99152.16</c:v>
                </c:pt>
                <c:pt idx="56">
                  <c:v>104086.7</c:v>
                </c:pt>
                <c:pt idx="57">
                  <c:v>105958.09999999999</c:v>
                </c:pt>
                <c:pt idx="58">
                  <c:v>87822.950000000012</c:v>
                </c:pt>
                <c:pt idx="59">
                  <c:v>102269.04</c:v>
                </c:pt>
                <c:pt idx="60">
                  <c:v>109721.02</c:v>
                </c:pt>
                <c:pt idx="61">
                  <c:v>100699.31</c:v>
                </c:pt>
                <c:pt idx="62">
                  <c:v>110436</c:v>
                </c:pt>
                <c:pt idx="63">
                  <c:v>110238.79999999999</c:v>
                </c:pt>
                <c:pt idx="64">
                  <c:v>101153.64</c:v>
                </c:pt>
                <c:pt idx="65">
                  <c:v>108365.03</c:v>
                </c:pt>
                <c:pt idx="66">
                  <c:v>109052.92000000001</c:v>
                </c:pt>
                <c:pt idx="67">
                  <c:v>101615.44</c:v>
                </c:pt>
                <c:pt idx="68">
                  <c:v>110914.12</c:v>
                </c:pt>
                <c:pt idx="69">
                  <c:v>111880.20999999999</c:v>
                </c:pt>
                <c:pt idx="70">
                  <c:v>108761</c:v>
                </c:pt>
                <c:pt idx="71">
                  <c:v>116585.17</c:v>
                </c:pt>
                <c:pt idx="72">
                  <c:v>113448.96000000001</c:v>
                </c:pt>
                <c:pt idx="73">
                  <c:v>95158.84</c:v>
                </c:pt>
                <c:pt idx="74">
                  <c:v>111165.63</c:v>
                </c:pt>
                <c:pt idx="75">
                  <c:v>114980.67</c:v>
                </c:pt>
                <c:pt idx="76">
                  <c:v>112410.48000000001</c:v>
                </c:pt>
                <c:pt idx="77">
                  <c:v>126440.02</c:v>
                </c:pt>
                <c:pt idx="78">
                  <c:v>123708.85999999999</c:v>
                </c:pt>
                <c:pt idx="79">
                  <c:v>129252.98000000001</c:v>
                </c:pt>
                <c:pt idx="80">
                  <c:v>131644.93</c:v>
                </c:pt>
                <c:pt idx="81">
                  <c:v>128481.23000000001</c:v>
                </c:pt>
                <c:pt idx="82">
                  <c:v>131805.20000000001</c:v>
                </c:pt>
                <c:pt idx="83">
                  <c:v>152261.71</c:v>
                </c:pt>
                <c:pt idx="84">
                  <c:v>149871.38</c:v>
                </c:pt>
                <c:pt idx="85">
                  <c:v>153131.15</c:v>
                </c:pt>
                <c:pt idx="86">
                  <c:v>167758.88</c:v>
                </c:pt>
                <c:pt idx="87">
                  <c:v>161148.46000000002</c:v>
                </c:pt>
                <c:pt idx="88">
                  <c:v>160423.46000000002</c:v>
                </c:pt>
                <c:pt idx="89">
                  <c:v>170180.52000000002</c:v>
                </c:pt>
                <c:pt idx="90">
                  <c:v>172115.4</c:v>
                </c:pt>
                <c:pt idx="91">
                  <c:v>179621.43</c:v>
                </c:pt>
                <c:pt idx="92">
                  <c:v>192124.24000000002</c:v>
                </c:pt>
                <c:pt idx="93">
                  <c:v>185023.77999999997</c:v>
                </c:pt>
                <c:pt idx="94">
                  <c:v>170567.82</c:v>
                </c:pt>
                <c:pt idx="95">
                  <c:v>177628.65</c:v>
                </c:pt>
                <c:pt idx="96">
                  <c:v>174507.94</c:v>
                </c:pt>
                <c:pt idx="97">
                  <c:v>163948.04</c:v>
                </c:pt>
                <c:pt idx="98">
                  <c:v>159005.09999999998</c:v>
                </c:pt>
                <c:pt idx="99">
                  <c:v>140549.54999999999</c:v>
                </c:pt>
                <c:pt idx="100">
                  <c:v>130140.34999999999</c:v>
                </c:pt>
                <c:pt idx="101">
                  <c:v>138298.34</c:v>
                </c:pt>
                <c:pt idx="102">
                  <c:v>129222.94</c:v>
                </c:pt>
                <c:pt idx="103">
                  <c:v>127682.16</c:v>
                </c:pt>
                <c:pt idx="104">
                  <c:v>141264.4</c:v>
                </c:pt>
                <c:pt idx="105">
                  <c:v>130935.79</c:v>
                </c:pt>
                <c:pt idx="106">
                  <c:v>121257.70999999999</c:v>
                </c:pt>
                <c:pt idx="107">
                  <c:v>136119.69</c:v>
                </c:pt>
                <c:pt idx="108">
                  <c:v>133480.26</c:v>
                </c:pt>
                <c:pt idx="109">
                  <c:v>126834.1</c:v>
                </c:pt>
                <c:pt idx="110">
                  <c:v>132755.62</c:v>
                </c:pt>
                <c:pt idx="111">
                  <c:v>130548.7</c:v>
                </c:pt>
                <c:pt idx="112">
                  <c:v>127011.45999999999</c:v>
                </c:pt>
                <c:pt idx="113">
                  <c:v>128774.26</c:v>
                </c:pt>
                <c:pt idx="114">
                  <c:v>125075.40000000001</c:v>
                </c:pt>
                <c:pt idx="115">
                  <c:v>124392.76</c:v>
                </c:pt>
                <c:pt idx="116">
                  <c:v>132416.64000000001</c:v>
                </c:pt>
                <c:pt idx="117">
                  <c:v>134925.16999999998</c:v>
                </c:pt>
                <c:pt idx="118">
                  <c:v>126636.48000000001</c:v>
                </c:pt>
                <c:pt idx="119">
                  <c:v>137272.69</c:v>
                </c:pt>
                <c:pt idx="120">
                  <c:v>145664.13</c:v>
                </c:pt>
                <c:pt idx="121">
                  <c:v>132051.78</c:v>
                </c:pt>
                <c:pt idx="122">
                  <c:v>146088.12</c:v>
                </c:pt>
                <c:pt idx="123">
                  <c:v>156043.26</c:v>
                </c:pt>
                <c:pt idx="124">
                  <c:v>129331.75</c:v>
                </c:pt>
                <c:pt idx="125">
                  <c:v>139765.25</c:v>
                </c:pt>
                <c:pt idx="126">
                  <c:v>142015.53</c:v>
                </c:pt>
                <c:pt idx="127">
                  <c:v>129244.32999999999</c:v>
                </c:pt>
                <c:pt idx="128">
                  <c:v>132940.53</c:v>
                </c:pt>
                <c:pt idx="129">
                  <c:v>130069.47</c:v>
                </c:pt>
                <c:pt idx="130">
                  <c:v>121851.14</c:v>
                </c:pt>
                <c:pt idx="131">
                  <c:v>136692.71</c:v>
                </c:pt>
                <c:pt idx="132">
                  <c:v>139838.78999999998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2-4172-9808-3A74627EBED5}"/>
            </c:ext>
          </c:extLst>
        </c:ser>
        <c:ser>
          <c:idx val="5"/>
          <c:order val="5"/>
          <c:tx>
            <c:strRef>
              <c:f>'Categories - Chart'!$A$7</c:f>
              <c:strCache>
                <c:ptCount val="1"/>
                <c:pt idx="0">
                  <c:v>rural owner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'Categories - Chart'!$B$1:$EI$1</c:f>
              <c:numCache>
                <c:formatCode>m/d/yyyy</c:formatCode>
                <c:ptCount val="138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41790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  <c:pt idx="61">
                  <c:v>43677</c:v>
                </c:pt>
                <c:pt idx="62">
                  <c:v>43708</c:v>
                </c:pt>
                <c:pt idx="63">
                  <c:v>43738</c:v>
                </c:pt>
                <c:pt idx="64">
                  <c:v>43769</c:v>
                </c:pt>
                <c:pt idx="65">
                  <c:v>43799</c:v>
                </c:pt>
                <c:pt idx="66">
                  <c:v>43830</c:v>
                </c:pt>
                <c:pt idx="67">
                  <c:v>43861</c:v>
                </c:pt>
                <c:pt idx="68">
                  <c:v>43890</c:v>
                </c:pt>
                <c:pt idx="69">
                  <c:v>43921</c:v>
                </c:pt>
                <c:pt idx="70">
                  <c:v>43951</c:v>
                </c:pt>
                <c:pt idx="71">
                  <c:v>43982</c:v>
                </c:pt>
                <c:pt idx="72">
                  <c:v>44012</c:v>
                </c:pt>
                <c:pt idx="73">
                  <c:v>44043</c:v>
                </c:pt>
                <c:pt idx="74">
                  <c:v>44074</c:v>
                </c:pt>
                <c:pt idx="75">
                  <c:v>44104</c:v>
                </c:pt>
                <c:pt idx="76">
                  <c:v>44135</c:v>
                </c:pt>
                <c:pt idx="77">
                  <c:v>44165</c:v>
                </c:pt>
                <c:pt idx="78">
                  <c:v>44196</c:v>
                </c:pt>
                <c:pt idx="79">
                  <c:v>44227</c:v>
                </c:pt>
                <c:pt idx="80">
                  <c:v>44255</c:v>
                </c:pt>
                <c:pt idx="81">
                  <c:v>44286</c:v>
                </c:pt>
                <c:pt idx="82">
                  <c:v>44316</c:v>
                </c:pt>
                <c:pt idx="83">
                  <c:v>44347</c:v>
                </c:pt>
                <c:pt idx="84">
                  <c:v>44377</c:v>
                </c:pt>
                <c:pt idx="85">
                  <c:v>44408</c:v>
                </c:pt>
                <c:pt idx="86">
                  <c:v>44439</c:v>
                </c:pt>
                <c:pt idx="87">
                  <c:v>44469</c:v>
                </c:pt>
                <c:pt idx="88">
                  <c:v>44500</c:v>
                </c:pt>
                <c:pt idx="89">
                  <c:v>44530</c:v>
                </c:pt>
                <c:pt idx="90">
                  <c:v>44561</c:v>
                </c:pt>
                <c:pt idx="91">
                  <c:v>44592</c:v>
                </c:pt>
                <c:pt idx="92">
                  <c:v>44620</c:v>
                </c:pt>
                <c:pt idx="93">
                  <c:v>44651</c:v>
                </c:pt>
                <c:pt idx="94">
                  <c:v>44681</c:v>
                </c:pt>
                <c:pt idx="95">
                  <c:v>44712</c:v>
                </c:pt>
                <c:pt idx="96">
                  <c:v>44742</c:v>
                </c:pt>
                <c:pt idx="97">
                  <c:v>44773</c:v>
                </c:pt>
                <c:pt idx="98">
                  <c:v>44804</c:v>
                </c:pt>
                <c:pt idx="99">
                  <c:v>44834</c:v>
                </c:pt>
                <c:pt idx="100">
                  <c:v>44865</c:v>
                </c:pt>
                <c:pt idx="101">
                  <c:v>44895</c:v>
                </c:pt>
                <c:pt idx="102">
                  <c:v>44926</c:v>
                </c:pt>
                <c:pt idx="103">
                  <c:v>44957</c:v>
                </c:pt>
                <c:pt idx="104">
                  <c:v>44985</c:v>
                </c:pt>
                <c:pt idx="105">
                  <c:v>45016</c:v>
                </c:pt>
                <c:pt idx="106">
                  <c:v>45046</c:v>
                </c:pt>
                <c:pt idx="107">
                  <c:v>45077</c:v>
                </c:pt>
                <c:pt idx="108">
                  <c:v>45107</c:v>
                </c:pt>
                <c:pt idx="109">
                  <c:v>45138</c:v>
                </c:pt>
                <c:pt idx="110">
                  <c:v>45169</c:v>
                </c:pt>
                <c:pt idx="111">
                  <c:v>45199</c:v>
                </c:pt>
                <c:pt idx="112">
                  <c:v>45230</c:v>
                </c:pt>
                <c:pt idx="113">
                  <c:v>45260</c:v>
                </c:pt>
                <c:pt idx="114">
                  <c:v>45291</c:v>
                </c:pt>
                <c:pt idx="115">
                  <c:v>45322</c:v>
                </c:pt>
                <c:pt idx="116">
                  <c:v>45351</c:v>
                </c:pt>
                <c:pt idx="117">
                  <c:v>45382</c:v>
                </c:pt>
                <c:pt idx="118">
                  <c:v>45412</c:v>
                </c:pt>
                <c:pt idx="119">
                  <c:v>45443</c:v>
                </c:pt>
                <c:pt idx="120">
                  <c:v>45473</c:v>
                </c:pt>
                <c:pt idx="121">
                  <c:v>45504</c:v>
                </c:pt>
                <c:pt idx="122">
                  <c:v>45535</c:v>
                </c:pt>
                <c:pt idx="123">
                  <c:v>45565</c:v>
                </c:pt>
                <c:pt idx="124">
                  <c:v>45596</c:v>
                </c:pt>
                <c:pt idx="125">
                  <c:v>45626</c:v>
                </c:pt>
                <c:pt idx="126">
                  <c:v>45657</c:v>
                </c:pt>
                <c:pt idx="127">
                  <c:v>45688</c:v>
                </c:pt>
                <c:pt idx="128">
                  <c:v>45716</c:v>
                </c:pt>
                <c:pt idx="129">
                  <c:v>45747</c:v>
                </c:pt>
                <c:pt idx="130">
                  <c:v>45777</c:v>
                </c:pt>
                <c:pt idx="131">
                  <c:v>45808</c:v>
                </c:pt>
                <c:pt idx="132">
                  <c:v>45838</c:v>
                </c:pt>
              </c:numCache>
            </c:numRef>
          </c:cat>
          <c:val>
            <c:numRef>
              <c:f>'Categories - Chart'!$B$7:$EI$7</c:f>
              <c:numCache>
                <c:formatCode>"$"#,##0_);[Red]\("$"#,##0\)</c:formatCode>
                <c:ptCount val="138"/>
                <c:pt idx="0">
                  <c:v>181469.86000000002</c:v>
                </c:pt>
                <c:pt idx="1">
                  <c:v>154794.66999999998</c:v>
                </c:pt>
                <c:pt idx="2">
                  <c:v>221286.46999999997</c:v>
                </c:pt>
                <c:pt idx="3">
                  <c:v>183248.65999999997</c:v>
                </c:pt>
                <c:pt idx="4">
                  <c:v>152785.9</c:v>
                </c:pt>
                <c:pt idx="5">
                  <c:v>164846.63</c:v>
                </c:pt>
                <c:pt idx="6">
                  <c:v>157202.41999999998</c:v>
                </c:pt>
                <c:pt idx="7">
                  <c:v>143803.91</c:v>
                </c:pt>
                <c:pt idx="8">
                  <c:v>128818.39</c:v>
                </c:pt>
                <c:pt idx="9">
                  <c:v>119759.46</c:v>
                </c:pt>
                <c:pt idx="10">
                  <c:v>108771.81</c:v>
                </c:pt>
                <c:pt idx="11">
                  <c:v>128233</c:v>
                </c:pt>
                <c:pt idx="12">
                  <c:v>112167.64</c:v>
                </c:pt>
                <c:pt idx="13">
                  <c:v>109505.48</c:v>
                </c:pt>
                <c:pt idx="14">
                  <c:v>125254.02</c:v>
                </c:pt>
                <c:pt idx="15">
                  <c:v>118532.38</c:v>
                </c:pt>
                <c:pt idx="16">
                  <c:v>107996.90999999999</c:v>
                </c:pt>
                <c:pt idx="17">
                  <c:v>139810.35</c:v>
                </c:pt>
                <c:pt idx="18">
                  <c:v>124277.56999999999</c:v>
                </c:pt>
                <c:pt idx="19">
                  <c:v>115952.01</c:v>
                </c:pt>
                <c:pt idx="20">
                  <c:v>108624.1</c:v>
                </c:pt>
                <c:pt idx="21">
                  <c:v>83783.320000000007</c:v>
                </c:pt>
                <c:pt idx="22">
                  <c:v>76252.950000000012</c:v>
                </c:pt>
                <c:pt idx="23">
                  <c:v>83300.12</c:v>
                </c:pt>
                <c:pt idx="24">
                  <c:v>99257.19</c:v>
                </c:pt>
                <c:pt idx="25">
                  <c:v>92972.01</c:v>
                </c:pt>
                <c:pt idx="26">
                  <c:v>96836.75</c:v>
                </c:pt>
                <c:pt idx="27">
                  <c:v>112981.6</c:v>
                </c:pt>
                <c:pt idx="28">
                  <c:v>105796</c:v>
                </c:pt>
                <c:pt idx="29">
                  <c:v>129091.62</c:v>
                </c:pt>
                <c:pt idx="30">
                  <c:v>118874.77</c:v>
                </c:pt>
                <c:pt idx="31">
                  <c:v>111076.81999999999</c:v>
                </c:pt>
                <c:pt idx="32">
                  <c:v>127287.38</c:v>
                </c:pt>
                <c:pt idx="33">
                  <c:v>112274.47</c:v>
                </c:pt>
                <c:pt idx="34">
                  <c:v>98420.6</c:v>
                </c:pt>
                <c:pt idx="35">
                  <c:v>134346.51999999999</c:v>
                </c:pt>
                <c:pt idx="36">
                  <c:v>99225.78</c:v>
                </c:pt>
                <c:pt idx="37">
                  <c:v>91535.569999999992</c:v>
                </c:pt>
                <c:pt idx="38">
                  <c:v>117082.89</c:v>
                </c:pt>
                <c:pt idx="39">
                  <c:v>114491.29000000001</c:v>
                </c:pt>
                <c:pt idx="40">
                  <c:v>115532.37</c:v>
                </c:pt>
                <c:pt idx="41">
                  <c:v>120887.67</c:v>
                </c:pt>
                <c:pt idx="42">
                  <c:v>117135</c:v>
                </c:pt>
                <c:pt idx="43">
                  <c:v>107230.89</c:v>
                </c:pt>
                <c:pt idx="44">
                  <c:v>111214.17</c:v>
                </c:pt>
                <c:pt idx="45">
                  <c:v>112128.81</c:v>
                </c:pt>
                <c:pt idx="46">
                  <c:v>110078.95</c:v>
                </c:pt>
                <c:pt idx="47">
                  <c:v>133210.52000000002</c:v>
                </c:pt>
                <c:pt idx="48">
                  <c:v>136013.45000000001</c:v>
                </c:pt>
                <c:pt idx="49">
                  <c:v>133508.45000000001</c:v>
                </c:pt>
                <c:pt idx="50">
                  <c:v>149515.04999999999</c:v>
                </c:pt>
                <c:pt idx="51">
                  <c:v>140731.54999999999</c:v>
                </c:pt>
                <c:pt idx="52">
                  <c:v>137899.95000000001</c:v>
                </c:pt>
                <c:pt idx="53">
                  <c:v>150416.81</c:v>
                </c:pt>
                <c:pt idx="54">
                  <c:v>129793.16</c:v>
                </c:pt>
                <c:pt idx="55">
                  <c:v>124518.94</c:v>
                </c:pt>
                <c:pt idx="56">
                  <c:v>148981.31</c:v>
                </c:pt>
                <c:pt idx="57">
                  <c:v>141124.66</c:v>
                </c:pt>
                <c:pt idx="58">
                  <c:v>135610.15</c:v>
                </c:pt>
                <c:pt idx="59">
                  <c:v>166668.77000000002</c:v>
                </c:pt>
                <c:pt idx="60">
                  <c:v>161659.85999999999</c:v>
                </c:pt>
                <c:pt idx="61">
                  <c:v>140360.66</c:v>
                </c:pt>
                <c:pt idx="62">
                  <c:v>163870.29999999999</c:v>
                </c:pt>
                <c:pt idx="63">
                  <c:v>114916.13</c:v>
                </c:pt>
                <c:pt idx="64">
                  <c:v>97018.9</c:v>
                </c:pt>
                <c:pt idx="65">
                  <c:v>96734.58</c:v>
                </c:pt>
                <c:pt idx="66">
                  <c:v>66386.709999999992</c:v>
                </c:pt>
                <c:pt idx="67">
                  <c:v>56882.28</c:v>
                </c:pt>
                <c:pt idx="68">
                  <c:v>58083.399999999994</c:v>
                </c:pt>
                <c:pt idx="69">
                  <c:v>59177.17</c:v>
                </c:pt>
                <c:pt idx="70">
                  <c:v>49583.96</c:v>
                </c:pt>
                <c:pt idx="71">
                  <c:v>56754.86</c:v>
                </c:pt>
                <c:pt idx="72">
                  <c:v>57029.649999999994</c:v>
                </c:pt>
                <c:pt idx="73">
                  <c:v>51275.15</c:v>
                </c:pt>
                <c:pt idx="74">
                  <c:v>64332.94</c:v>
                </c:pt>
                <c:pt idx="75">
                  <c:v>61625.65</c:v>
                </c:pt>
                <c:pt idx="76">
                  <c:v>59007.960000000006</c:v>
                </c:pt>
                <c:pt idx="77">
                  <c:v>66635.520000000004</c:v>
                </c:pt>
                <c:pt idx="78">
                  <c:v>63432.03</c:v>
                </c:pt>
                <c:pt idx="79">
                  <c:v>55962.39</c:v>
                </c:pt>
                <c:pt idx="80">
                  <c:v>58553.310000000005</c:v>
                </c:pt>
                <c:pt idx="81">
                  <c:v>61904.51</c:v>
                </c:pt>
                <c:pt idx="82">
                  <c:v>62078.18</c:v>
                </c:pt>
                <c:pt idx="83">
                  <c:v>71986.790000000008</c:v>
                </c:pt>
                <c:pt idx="84">
                  <c:v>84980.95</c:v>
                </c:pt>
                <c:pt idx="85">
                  <c:v>90475.41</c:v>
                </c:pt>
                <c:pt idx="86">
                  <c:v>97472.489999999991</c:v>
                </c:pt>
                <c:pt idx="87">
                  <c:v>111129.70000000001</c:v>
                </c:pt>
                <c:pt idx="88">
                  <c:v>115058.81</c:v>
                </c:pt>
                <c:pt idx="89">
                  <c:v>121734.2</c:v>
                </c:pt>
                <c:pt idx="90">
                  <c:v>134870.93</c:v>
                </c:pt>
                <c:pt idx="91">
                  <c:v>136795.54999999999</c:v>
                </c:pt>
                <c:pt idx="92">
                  <c:v>61217.03</c:v>
                </c:pt>
                <c:pt idx="93">
                  <c:v>66247</c:v>
                </c:pt>
                <c:pt idx="94">
                  <c:v>55964.03</c:v>
                </c:pt>
                <c:pt idx="95">
                  <c:v>70833.350000000006</c:v>
                </c:pt>
                <c:pt idx="96">
                  <c:v>70032.320000000007</c:v>
                </c:pt>
                <c:pt idx="97">
                  <c:v>65159.17</c:v>
                </c:pt>
                <c:pt idx="98">
                  <c:v>82202.06</c:v>
                </c:pt>
                <c:pt idx="99">
                  <c:v>73144.489999999991</c:v>
                </c:pt>
                <c:pt idx="100">
                  <c:v>71982.28</c:v>
                </c:pt>
                <c:pt idx="101">
                  <c:v>76871.740000000005</c:v>
                </c:pt>
                <c:pt idx="102">
                  <c:v>68846.31</c:v>
                </c:pt>
                <c:pt idx="103">
                  <c:v>58644.3</c:v>
                </c:pt>
                <c:pt idx="104">
                  <c:v>60233.43</c:v>
                </c:pt>
                <c:pt idx="105">
                  <c:v>38653.35</c:v>
                </c:pt>
                <c:pt idx="106">
                  <c:v>37999.449999999997</c:v>
                </c:pt>
                <c:pt idx="107">
                  <c:v>41006.949999999997</c:v>
                </c:pt>
                <c:pt idx="108">
                  <c:v>40308.26</c:v>
                </c:pt>
                <c:pt idx="109">
                  <c:v>39096.080000000002</c:v>
                </c:pt>
                <c:pt idx="110">
                  <c:v>81086.06</c:v>
                </c:pt>
                <c:pt idx="111">
                  <c:v>81654.23000000001</c:v>
                </c:pt>
                <c:pt idx="112">
                  <c:v>73016.12000000001</c:v>
                </c:pt>
                <c:pt idx="113">
                  <c:v>81567.61</c:v>
                </c:pt>
                <c:pt idx="114">
                  <c:v>67989.929999999993</c:v>
                </c:pt>
                <c:pt idx="115">
                  <c:v>54284.490000000005</c:v>
                </c:pt>
                <c:pt idx="116">
                  <c:v>59473.430000000008</c:v>
                </c:pt>
                <c:pt idx="117">
                  <c:v>77777.88</c:v>
                </c:pt>
                <c:pt idx="118">
                  <c:v>79416.820000000007</c:v>
                </c:pt>
                <c:pt idx="119">
                  <c:v>88905.63</c:v>
                </c:pt>
                <c:pt idx="120">
                  <c:v>82785.39</c:v>
                </c:pt>
                <c:pt idx="121">
                  <c:v>71037</c:v>
                </c:pt>
                <c:pt idx="122">
                  <c:v>82001.39</c:v>
                </c:pt>
                <c:pt idx="123">
                  <c:v>78049.5</c:v>
                </c:pt>
                <c:pt idx="124">
                  <c:v>71211.240000000005</c:v>
                </c:pt>
                <c:pt idx="125">
                  <c:v>94333.41</c:v>
                </c:pt>
                <c:pt idx="126">
                  <c:v>94889.58</c:v>
                </c:pt>
                <c:pt idx="127">
                  <c:v>81624.759999999995</c:v>
                </c:pt>
                <c:pt idx="128">
                  <c:v>87367.23</c:v>
                </c:pt>
                <c:pt idx="129">
                  <c:v>88456.66</c:v>
                </c:pt>
                <c:pt idx="130">
                  <c:v>83533.989999999991</c:v>
                </c:pt>
                <c:pt idx="131">
                  <c:v>135947.99</c:v>
                </c:pt>
                <c:pt idx="132">
                  <c:v>132074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2-4172-9808-3A74627EBED5}"/>
            </c:ext>
          </c:extLst>
        </c:ser>
        <c:ser>
          <c:idx val="6"/>
          <c:order val="6"/>
          <c:tx>
            <c:strRef>
              <c:f>'Categories - Chart'!$A$8</c:f>
              <c:strCache>
                <c:ptCount val="1"/>
                <c:pt idx="0">
                  <c:v>rural tenant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'Categories - Chart'!$B$1:$EI$1</c:f>
              <c:numCache>
                <c:formatCode>m/d/yyyy</c:formatCode>
                <c:ptCount val="138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41790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  <c:pt idx="60">
                  <c:v>43646</c:v>
                </c:pt>
                <c:pt idx="61">
                  <c:v>43677</c:v>
                </c:pt>
                <c:pt idx="62">
                  <c:v>43708</c:v>
                </c:pt>
                <c:pt idx="63">
                  <c:v>43738</c:v>
                </c:pt>
                <c:pt idx="64">
                  <c:v>43769</c:v>
                </c:pt>
                <c:pt idx="65">
                  <c:v>43799</c:v>
                </c:pt>
                <c:pt idx="66">
                  <c:v>43830</c:v>
                </c:pt>
                <c:pt idx="67">
                  <c:v>43861</c:v>
                </c:pt>
                <c:pt idx="68">
                  <c:v>43890</c:v>
                </c:pt>
                <c:pt idx="69">
                  <c:v>43921</c:v>
                </c:pt>
                <c:pt idx="70">
                  <c:v>43951</c:v>
                </c:pt>
                <c:pt idx="71">
                  <c:v>43982</c:v>
                </c:pt>
                <c:pt idx="72">
                  <c:v>44012</c:v>
                </c:pt>
                <c:pt idx="73">
                  <c:v>44043</c:v>
                </c:pt>
                <c:pt idx="74">
                  <c:v>44074</c:v>
                </c:pt>
                <c:pt idx="75">
                  <c:v>44104</c:v>
                </c:pt>
                <c:pt idx="76">
                  <c:v>44135</c:v>
                </c:pt>
                <c:pt idx="77">
                  <c:v>44165</c:v>
                </c:pt>
                <c:pt idx="78">
                  <c:v>44196</c:v>
                </c:pt>
                <c:pt idx="79">
                  <c:v>44227</c:v>
                </c:pt>
                <c:pt idx="80">
                  <c:v>44255</c:v>
                </c:pt>
                <c:pt idx="81">
                  <c:v>44286</c:v>
                </c:pt>
                <c:pt idx="82">
                  <c:v>44316</c:v>
                </c:pt>
                <c:pt idx="83">
                  <c:v>44347</c:v>
                </c:pt>
                <c:pt idx="84">
                  <c:v>44377</c:v>
                </c:pt>
                <c:pt idx="85">
                  <c:v>44408</c:v>
                </c:pt>
                <c:pt idx="86">
                  <c:v>44439</c:v>
                </c:pt>
                <c:pt idx="87">
                  <c:v>44469</c:v>
                </c:pt>
                <c:pt idx="88">
                  <c:v>44500</c:v>
                </c:pt>
                <c:pt idx="89">
                  <c:v>44530</c:v>
                </c:pt>
                <c:pt idx="90">
                  <c:v>44561</c:v>
                </c:pt>
                <c:pt idx="91">
                  <c:v>44592</c:v>
                </c:pt>
                <c:pt idx="92">
                  <c:v>44620</c:v>
                </c:pt>
                <c:pt idx="93">
                  <c:v>44651</c:v>
                </c:pt>
                <c:pt idx="94">
                  <c:v>44681</c:v>
                </c:pt>
                <c:pt idx="95">
                  <c:v>44712</c:v>
                </c:pt>
                <c:pt idx="96">
                  <c:v>44742</c:v>
                </c:pt>
                <c:pt idx="97">
                  <c:v>44773</c:v>
                </c:pt>
                <c:pt idx="98">
                  <c:v>44804</c:v>
                </c:pt>
                <c:pt idx="99">
                  <c:v>44834</c:v>
                </c:pt>
                <c:pt idx="100">
                  <c:v>44865</c:v>
                </c:pt>
                <c:pt idx="101">
                  <c:v>44895</c:v>
                </c:pt>
                <c:pt idx="102">
                  <c:v>44926</c:v>
                </c:pt>
                <c:pt idx="103">
                  <c:v>44957</c:v>
                </c:pt>
                <c:pt idx="104">
                  <c:v>44985</c:v>
                </c:pt>
                <c:pt idx="105">
                  <c:v>45016</c:v>
                </c:pt>
                <c:pt idx="106">
                  <c:v>45046</c:v>
                </c:pt>
                <c:pt idx="107">
                  <c:v>45077</c:v>
                </c:pt>
                <c:pt idx="108">
                  <c:v>45107</c:v>
                </c:pt>
                <c:pt idx="109">
                  <c:v>45138</c:v>
                </c:pt>
                <c:pt idx="110">
                  <c:v>45169</c:v>
                </c:pt>
                <c:pt idx="111">
                  <c:v>45199</c:v>
                </c:pt>
                <c:pt idx="112">
                  <c:v>45230</c:v>
                </c:pt>
                <c:pt idx="113">
                  <c:v>45260</c:v>
                </c:pt>
                <c:pt idx="114">
                  <c:v>45291</c:v>
                </c:pt>
                <c:pt idx="115">
                  <c:v>45322</c:v>
                </c:pt>
                <c:pt idx="116">
                  <c:v>45351</c:v>
                </c:pt>
                <c:pt idx="117">
                  <c:v>45382</c:v>
                </c:pt>
                <c:pt idx="118">
                  <c:v>45412</c:v>
                </c:pt>
                <c:pt idx="119">
                  <c:v>45443</c:v>
                </c:pt>
                <c:pt idx="120">
                  <c:v>45473</c:v>
                </c:pt>
                <c:pt idx="121">
                  <c:v>45504</c:v>
                </c:pt>
                <c:pt idx="122">
                  <c:v>45535</c:v>
                </c:pt>
                <c:pt idx="123">
                  <c:v>45565</c:v>
                </c:pt>
                <c:pt idx="124">
                  <c:v>45596</c:v>
                </c:pt>
                <c:pt idx="125">
                  <c:v>45626</c:v>
                </c:pt>
                <c:pt idx="126">
                  <c:v>45657</c:v>
                </c:pt>
                <c:pt idx="127">
                  <c:v>45688</c:v>
                </c:pt>
                <c:pt idx="128">
                  <c:v>45716</c:v>
                </c:pt>
                <c:pt idx="129">
                  <c:v>45747</c:v>
                </c:pt>
                <c:pt idx="130">
                  <c:v>45777</c:v>
                </c:pt>
                <c:pt idx="131">
                  <c:v>45808</c:v>
                </c:pt>
                <c:pt idx="132">
                  <c:v>45838</c:v>
                </c:pt>
              </c:numCache>
            </c:numRef>
          </c:cat>
          <c:val>
            <c:numRef>
              <c:f>'Categories - Chart'!$B$8:$EI$8</c:f>
              <c:numCache>
                <c:formatCode>"$"#,##0_);[Red]\("$"#,##0\)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925.47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2142.7800000000002</c:v>
                </c:pt>
                <c:pt idx="28">
                  <c:v>1660.28</c:v>
                </c:pt>
                <c:pt idx="29">
                  <c:v>2903.4700000000003</c:v>
                </c:pt>
                <c:pt idx="30">
                  <c:v>2417.52</c:v>
                </c:pt>
                <c:pt idx="31">
                  <c:v>1942.06</c:v>
                </c:pt>
                <c:pt idx="32">
                  <c:v>2906</c:v>
                </c:pt>
                <c:pt idx="33">
                  <c:v>2419.59</c:v>
                </c:pt>
                <c:pt idx="34">
                  <c:v>1951.62</c:v>
                </c:pt>
                <c:pt idx="35">
                  <c:v>4120.1000000000004</c:v>
                </c:pt>
                <c:pt idx="36">
                  <c:v>4149.68</c:v>
                </c:pt>
                <c:pt idx="37">
                  <c:v>3674.45</c:v>
                </c:pt>
                <c:pt idx="38">
                  <c:v>5871.92</c:v>
                </c:pt>
                <c:pt idx="39">
                  <c:v>5406.08</c:v>
                </c:pt>
                <c:pt idx="40">
                  <c:v>4939.76</c:v>
                </c:pt>
                <c:pt idx="41">
                  <c:v>6311.3</c:v>
                </c:pt>
                <c:pt idx="42">
                  <c:v>5345.1900000000005</c:v>
                </c:pt>
                <c:pt idx="43">
                  <c:v>4377.7700000000004</c:v>
                </c:pt>
                <c:pt idx="44">
                  <c:v>7388.34</c:v>
                </c:pt>
                <c:pt idx="45">
                  <c:v>6467.02</c:v>
                </c:pt>
                <c:pt idx="46">
                  <c:v>4478.0600000000004</c:v>
                </c:pt>
                <c:pt idx="47">
                  <c:v>3496.19</c:v>
                </c:pt>
                <c:pt idx="48">
                  <c:v>2518.48</c:v>
                </c:pt>
                <c:pt idx="49">
                  <c:v>1523.61</c:v>
                </c:pt>
                <c:pt idx="50">
                  <c:v>530.24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17.36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8EB2-4172-9808-3A74627EB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283296"/>
        <c:axId val="451283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'Categories - Chart'!$A$2</c15:sqref>
                        </c15:formulaRef>
                      </c:ext>
                    </c:extLst>
                    <c:strCache>
                      <c:ptCount val="1"/>
                      <c:pt idx="0">
                        <c:v>sundry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'Categories - Chart'!$B$1:$EI$1</c15:sqref>
                        </c15:formulaRef>
                      </c:ext>
                    </c:extLst>
                    <c:numCache>
                      <c:formatCode>m/d/yyyy</c:formatCode>
                      <c:ptCount val="138"/>
                      <c:pt idx="0">
                        <c:v>41820</c:v>
                      </c:pt>
                      <c:pt idx="1">
                        <c:v>41851</c:v>
                      </c:pt>
                      <c:pt idx="2">
                        <c:v>41882</c:v>
                      </c:pt>
                      <c:pt idx="3">
                        <c:v>41912</c:v>
                      </c:pt>
                      <c:pt idx="4">
                        <c:v>41943</c:v>
                      </c:pt>
                      <c:pt idx="5">
                        <c:v>41973</c:v>
                      </c:pt>
                      <c:pt idx="6">
                        <c:v>42004</c:v>
                      </c:pt>
                      <c:pt idx="7">
                        <c:v>42035</c:v>
                      </c:pt>
                      <c:pt idx="8">
                        <c:v>42063</c:v>
                      </c:pt>
                      <c:pt idx="9">
                        <c:v>42094</c:v>
                      </c:pt>
                      <c:pt idx="10">
                        <c:v>42124</c:v>
                      </c:pt>
                      <c:pt idx="11">
                        <c:v>41790</c:v>
                      </c:pt>
                      <c:pt idx="12">
                        <c:v>42185</c:v>
                      </c:pt>
                      <c:pt idx="13">
                        <c:v>42216</c:v>
                      </c:pt>
                      <c:pt idx="14">
                        <c:v>42247</c:v>
                      </c:pt>
                      <c:pt idx="15">
                        <c:v>42277</c:v>
                      </c:pt>
                      <c:pt idx="16">
                        <c:v>42308</c:v>
                      </c:pt>
                      <c:pt idx="17">
                        <c:v>42338</c:v>
                      </c:pt>
                      <c:pt idx="18">
                        <c:v>42369</c:v>
                      </c:pt>
                      <c:pt idx="19">
                        <c:v>42400</c:v>
                      </c:pt>
                      <c:pt idx="20">
                        <c:v>42429</c:v>
                      </c:pt>
                      <c:pt idx="21">
                        <c:v>42460</c:v>
                      </c:pt>
                      <c:pt idx="22">
                        <c:v>42490</c:v>
                      </c:pt>
                      <c:pt idx="23">
                        <c:v>42521</c:v>
                      </c:pt>
                      <c:pt idx="24">
                        <c:v>42551</c:v>
                      </c:pt>
                      <c:pt idx="25">
                        <c:v>42582</c:v>
                      </c:pt>
                      <c:pt idx="26">
                        <c:v>42613</c:v>
                      </c:pt>
                      <c:pt idx="27">
                        <c:v>42643</c:v>
                      </c:pt>
                      <c:pt idx="28">
                        <c:v>42674</c:v>
                      </c:pt>
                      <c:pt idx="29">
                        <c:v>42704</c:v>
                      </c:pt>
                      <c:pt idx="30">
                        <c:v>42735</c:v>
                      </c:pt>
                      <c:pt idx="31">
                        <c:v>42766</c:v>
                      </c:pt>
                      <c:pt idx="32">
                        <c:v>42794</c:v>
                      </c:pt>
                      <c:pt idx="33">
                        <c:v>42825</c:v>
                      </c:pt>
                      <c:pt idx="34">
                        <c:v>42855</c:v>
                      </c:pt>
                      <c:pt idx="35">
                        <c:v>42886</c:v>
                      </c:pt>
                      <c:pt idx="36">
                        <c:v>42916</c:v>
                      </c:pt>
                      <c:pt idx="37">
                        <c:v>42947</c:v>
                      </c:pt>
                      <c:pt idx="38">
                        <c:v>42978</c:v>
                      </c:pt>
                      <c:pt idx="39">
                        <c:v>43008</c:v>
                      </c:pt>
                      <c:pt idx="40">
                        <c:v>43039</c:v>
                      </c:pt>
                      <c:pt idx="41">
                        <c:v>43069</c:v>
                      </c:pt>
                      <c:pt idx="42">
                        <c:v>43100</c:v>
                      </c:pt>
                      <c:pt idx="43">
                        <c:v>43131</c:v>
                      </c:pt>
                      <c:pt idx="44">
                        <c:v>43159</c:v>
                      </c:pt>
                      <c:pt idx="45">
                        <c:v>43190</c:v>
                      </c:pt>
                      <c:pt idx="46">
                        <c:v>43220</c:v>
                      </c:pt>
                      <c:pt idx="47">
                        <c:v>43251</c:v>
                      </c:pt>
                      <c:pt idx="48">
                        <c:v>43281</c:v>
                      </c:pt>
                      <c:pt idx="49">
                        <c:v>43312</c:v>
                      </c:pt>
                      <c:pt idx="50">
                        <c:v>43343</c:v>
                      </c:pt>
                      <c:pt idx="51">
                        <c:v>43373</c:v>
                      </c:pt>
                      <c:pt idx="52">
                        <c:v>43404</c:v>
                      </c:pt>
                      <c:pt idx="53">
                        <c:v>43434</c:v>
                      </c:pt>
                      <c:pt idx="54">
                        <c:v>43465</c:v>
                      </c:pt>
                      <c:pt idx="55">
                        <c:v>43496</c:v>
                      </c:pt>
                      <c:pt idx="56">
                        <c:v>43524</c:v>
                      </c:pt>
                      <c:pt idx="57">
                        <c:v>43555</c:v>
                      </c:pt>
                      <c:pt idx="58">
                        <c:v>43585</c:v>
                      </c:pt>
                      <c:pt idx="59">
                        <c:v>43616</c:v>
                      </c:pt>
                      <c:pt idx="60">
                        <c:v>43646</c:v>
                      </c:pt>
                      <c:pt idx="61">
                        <c:v>43677</c:v>
                      </c:pt>
                      <c:pt idx="62">
                        <c:v>43708</c:v>
                      </c:pt>
                      <c:pt idx="63">
                        <c:v>43738</c:v>
                      </c:pt>
                      <c:pt idx="64">
                        <c:v>43769</c:v>
                      </c:pt>
                      <c:pt idx="65">
                        <c:v>43799</c:v>
                      </c:pt>
                      <c:pt idx="66">
                        <c:v>43830</c:v>
                      </c:pt>
                      <c:pt idx="67">
                        <c:v>43861</c:v>
                      </c:pt>
                      <c:pt idx="68">
                        <c:v>43890</c:v>
                      </c:pt>
                      <c:pt idx="69">
                        <c:v>43921</c:v>
                      </c:pt>
                      <c:pt idx="70">
                        <c:v>43951</c:v>
                      </c:pt>
                      <c:pt idx="71">
                        <c:v>43982</c:v>
                      </c:pt>
                      <c:pt idx="72">
                        <c:v>44012</c:v>
                      </c:pt>
                      <c:pt idx="73">
                        <c:v>44043</c:v>
                      </c:pt>
                      <c:pt idx="74">
                        <c:v>44074</c:v>
                      </c:pt>
                      <c:pt idx="75">
                        <c:v>44104</c:v>
                      </c:pt>
                      <c:pt idx="76">
                        <c:v>44135</c:v>
                      </c:pt>
                      <c:pt idx="77">
                        <c:v>44165</c:v>
                      </c:pt>
                      <c:pt idx="78">
                        <c:v>44196</c:v>
                      </c:pt>
                      <c:pt idx="79">
                        <c:v>44227</c:v>
                      </c:pt>
                      <c:pt idx="80">
                        <c:v>44255</c:v>
                      </c:pt>
                      <c:pt idx="81">
                        <c:v>44286</c:v>
                      </c:pt>
                      <c:pt idx="82">
                        <c:v>44316</c:v>
                      </c:pt>
                      <c:pt idx="83">
                        <c:v>44347</c:v>
                      </c:pt>
                      <c:pt idx="84">
                        <c:v>44377</c:v>
                      </c:pt>
                      <c:pt idx="85">
                        <c:v>44408</c:v>
                      </c:pt>
                      <c:pt idx="86">
                        <c:v>44439</c:v>
                      </c:pt>
                      <c:pt idx="87">
                        <c:v>44469</c:v>
                      </c:pt>
                      <c:pt idx="88">
                        <c:v>44500</c:v>
                      </c:pt>
                      <c:pt idx="89">
                        <c:v>44530</c:v>
                      </c:pt>
                      <c:pt idx="90">
                        <c:v>44561</c:v>
                      </c:pt>
                      <c:pt idx="91">
                        <c:v>44592</c:v>
                      </c:pt>
                      <c:pt idx="92">
                        <c:v>44620</c:v>
                      </c:pt>
                      <c:pt idx="93">
                        <c:v>44651</c:v>
                      </c:pt>
                      <c:pt idx="94">
                        <c:v>44681</c:v>
                      </c:pt>
                      <c:pt idx="95">
                        <c:v>44712</c:v>
                      </c:pt>
                      <c:pt idx="96">
                        <c:v>44742</c:v>
                      </c:pt>
                      <c:pt idx="97">
                        <c:v>44773</c:v>
                      </c:pt>
                      <c:pt idx="98">
                        <c:v>44804</c:v>
                      </c:pt>
                      <c:pt idx="99">
                        <c:v>44834</c:v>
                      </c:pt>
                      <c:pt idx="100">
                        <c:v>44865</c:v>
                      </c:pt>
                      <c:pt idx="101">
                        <c:v>44895</c:v>
                      </c:pt>
                      <c:pt idx="102">
                        <c:v>44926</c:v>
                      </c:pt>
                      <c:pt idx="103">
                        <c:v>44957</c:v>
                      </c:pt>
                      <c:pt idx="104">
                        <c:v>44985</c:v>
                      </c:pt>
                      <c:pt idx="105">
                        <c:v>45016</c:v>
                      </c:pt>
                      <c:pt idx="106">
                        <c:v>45046</c:v>
                      </c:pt>
                      <c:pt idx="107">
                        <c:v>45077</c:v>
                      </c:pt>
                      <c:pt idx="108">
                        <c:v>45107</c:v>
                      </c:pt>
                      <c:pt idx="109">
                        <c:v>45138</c:v>
                      </c:pt>
                      <c:pt idx="110">
                        <c:v>45169</c:v>
                      </c:pt>
                      <c:pt idx="111">
                        <c:v>45199</c:v>
                      </c:pt>
                      <c:pt idx="112">
                        <c:v>45230</c:v>
                      </c:pt>
                      <c:pt idx="113">
                        <c:v>45260</c:v>
                      </c:pt>
                      <c:pt idx="114">
                        <c:v>45291</c:v>
                      </c:pt>
                      <c:pt idx="115">
                        <c:v>45322</c:v>
                      </c:pt>
                      <c:pt idx="116">
                        <c:v>45351</c:v>
                      </c:pt>
                      <c:pt idx="117">
                        <c:v>45382</c:v>
                      </c:pt>
                      <c:pt idx="118">
                        <c:v>45412</c:v>
                      </c:pt>
                      <c:pt idx="119">
                        <c:v>45443</c:v>
                      </c:pt>
                      <c:pt idx="120">
                        <c:v>45473</c:v>
                      </c:pt>
                      <c:pt idx="121">
                        <c:v>45504</c:v>
                      </c:pt>
                      <c:pt idx="122">
                        <c:v>45535</c:v>
                      </c:pt>
                      <c:pt idx="123">
                        <c:v>45565</c:v>
                      </c:pt>
                      <c:pt idx="124">
                        <c:v>45596</c:v>
                      </c:pt>
                      <c:pt idx="125">
                        <c:v>45626</c:v>
                      </c:pt>
                      <c:pt idx="126">
                        <c:v>45657</c:v>
                      </c:pt>
                      <c:pt idx="127">
                        <c:v>45688</c:v>
                      </c:pt>
                      <c:pt idx="128">
                        <c:v>45716</c:v>
                      </c:pt>
                      <c:pt idx="129">
                        <c:v>45747</c:v>
                      </c:pt>
                      <c:pt idx="130">
                        <c:v>45777</c:v>
                      </c:pt>
                      <c:pt idx="131">
                        <c:v>45808</c:v>
                      </c:pt>
                      <c:pt idx="132">
                        <c:v>45838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'Categories - Chart'!$B$2:$EI$2</c15:sqref>
                        </c15:formulaRef>
                      </c:ext>
                    </c:extLst>
                    <c:numCache>
                      <c:formatCode>"$"#,##0_);[Red]\("$"#,##0\)</c:formatCode>
                      <c:ptCount val="138"/>
                      <c:pt idx="0">
                        <c:v>3318.88</c:v>
                      </c:pt>
                      <c:pt idx="1">
                        <c:v>1224.5899999999999</c:v>
                      </c:pt>
                      <c:pt idx="2">
                        <c:v>207.76000000000002</c:v>
                      </c:pt>
                      <c:pt idx="3">
                        <c:v>23454.01</c:v>
                      </c:pt>
                      <c:pt idx="4">
                        <c:v>981.36</c:v>
                      </c:pt>
                      <c:pt idx="5">
                        <c:v>1058.79</c:v>
                      </c:pt>
                      <c:pt idx="6">
                        <c:v>790.99</c:v>
                      </c:pt>
                      <c:pt idx="7">
                        <c:v>105.07</c:v>
                      </c:pt>
                      <c:pt idx="8">
                        <c:v>1073.67</c:v>
                      </c:pt>
                      <c:pt idx="9">
                        <c:v>1047.8500000000008</c:v>
                      </c:pt>
                      <c:pt idx="10">
                        <c:v>2057.3200000000002</c:v>
                      </c:pt>
                      <c:pt idx="11">
                        <c:v>777.16</c:v>
                      </c:pt>
                      <c:pt idx="12">
                        <c:v>3453.24</c:v>
                      </c:pt>
                      <c:pt idx="13">
                        <c:v>1673.1200000000001</c:v>
                      </c:pt>
                      <c:pt idx="14">
                        <c:v>26454.769999999997</c:v>
                      </c:pt>
                      <c:pt idx="15">
                        <c:v>9025.9500000000007</c:v>
                      </c:pt>
                      <c:pt idx="16">
                        <c:v>9035.0499999999993</c:v>
                      </c:pt>
                      <c:pt idx="17">
                        <c:v>18310.04</c:v>
                      </c:pt>
                      <c:pt idx="18">
                        <c:v>16378.98</c:v>
                      </c:pt>
                      <c:pt idx="19">
                        <c:v>15304.82</c:v>
                      </c:pt>
                      <c:pt idx="20">
                        <c:v>5393.8899999999994</c:v>
                      </c:pt>
                      <c:pt idx="21">
                        <c:v>887.65000000000009</c:v>
                      </c:pt>
                      <c:pt idx="22">
                        <c:v>7824.68</c:v>
                      </c:pt>
                      <c:pt idx="23">
                        <c:v>17834.190000000002</c:v>
                      </c:pt>
                      <c:pt idx="24">
                        <c:v>17894.28</c:v>
                      </c:pt>
                      <c:pt idx="25">
                        <c:v>104.23</c:v>
                      </c:pt>
                      <c:pt idx="26">
                        <c:v>96.98</c:v>
                      </c:pt>
                      <c:pt idx="27">
                        <c:v>110.5</c:v>
                      </c:pt>
                      <c:pt idx="28">
                        <c:v>152.73000000000002</c:v>
                      </c:pt>
                      <c:pt idx="29">
                        <c:v>393.39</c:v>
                      </c:pt>
                      <c:pt idx="30">
                        <c:v>69106.53</c:v>
                      </c:pt>
                      <c:pt idx="31">
                        <c:v>11.45</c:v>
                      </c:pt>
                      <c:pt idx="32">
                        <c:v>9902.86</c:v>
                      </c:pt>
                      <c:pt idx="33">
                        <c:v>191.98000000000002</c:v>
                      </c:pt>
                      <c:pt idx="34">
                        <c:v>2798.9</c:v>
                      </c:pt>
                      <c:pt idx="35">
                        <c:v>1703.51</c:v>
                      </c:pt>
                      <c:pt idx="36">
                        <c:v>1856.6799999999998</c:v>
                      </c:pt>
                      <c:pt idx="37">
                        <c:v>2404.37</c:v>
                      </c:pt>
                      <c:pt idx="38">
                        <c:v>1607.44</c:v>
                      </c:pt>
                      <c:pt idx="39">
                        <c:v>3887.84</c:v>
                      </c:pt>
                      <c:pt idx="40">
                        <c:v>2299.13</c:v>
                      </c:pt>
                      <c:pt idx="41">
                        <c:v>2385.16</c:v>
                      </c:pt>
                      <c:pt idx="42">
                        <c:v>2205.9299999999998</c:v>
                      </c:pt>
                      <c:pt idx="43">
                        <c:v>962.09999999999991</c:v>
                      </c:pt>
                      <c:pt idx="44">
                        <c:v>100564.25</c:v>
                      </c:pt>
                      <c:pt idx="45">
                        <c:v>106214.81999999999</c:v>
                      </c:pt>
                      <c:pt idx="46">
                        <c:v>2137.84</c:v>
                      </c:pt>
                      <c:pt idx="47">
                        <c:v>0</c:v>
                      </c:pt>
                      <c:pt idx="48">
                        <c:v>3675.7</c:v>
                      </c:pt>
                      <c:pt idx="49">
                        <c:v>26687.929999999935</c:v>
                      </c:pt>
                      <c:pt idx="50">
                        <c:v>695659.04999999993</c:v>
                      </c:pt>
                      <c:pt idx="51">
                        <c:v>1381831.55</c:v>
                      </c:pt>
                      <c:pt idx="52">
                        <c:v>685161.70000000007</c:v>
                      </c:pt>
                      <c:pt idx="53">
                        <c:v>4505.01</c:v>
                      </c:pt>
                      <c:pt idx="54">
                        <c:v>4470.1100000000006</c:v>
                      </c:pt>
                      <c:pt idx="55">
                        <c:v>6418.1500000000005</c:v>
                      </c:pt>
                      <c:pt idx="56">
                        <c:v>6093.04</c:v>
                      </c:pt>
                      <c:pt idx="57">
                        <c:v>7538.25</c:v>
                      </c:pt>
                      <c:pt idx="58">
                        <c:v>4153.83</c:v>
                      </c:pt>
                      <c:pt idx="59">
                        <c:v>7179.9900000000007</c:v>
                      </c:pt>
                      <c:pt idx="60">
                        <c:v>13089.2</c:v>
                      </c:pt>
                      <c:pt idx="61">
                        <c:v>11834.22</c:v>
                      </c:pt>
                      <c:pt idx="62">
                        <c:v>118461.32</c:v>
                      </c:pt>
                      <c:pt idx="63">
                        <c:v>126768.46</c:v>
                      </c:pt>
                      <c:pt idx="64">
                        <c:v>93697.33</c:v>
                      </c:pt>
                      <c:pt idx="65">
                        <c:v>93811.08</c:v>
                      </c:pt>
                      <c:pt idx="66">
                        <c:v>108723.04000000001</c:v>
                      </c:pt>
                      <c:pt idx="67">
                        <c:v>72923.81</c:v>
                      </c:pt>
                      <c:pt idx="68">
                        <c:v>40452.51</c:v>
                      </c:pt>
                      <c:pt idx="69">
                        <c:v>41177.660000000003</c:v>
                      </c:pt>
                      <c:pt idx="70">
                        <c:v>51016.210000000006</c:v>
                      </c:pt>
                      <c:pt idx="71">
                        <c:v>56614.490000000005</c:v>
                      </c:pt>
                      <c:pt idx="72">
                        <c:v>44973.29</c:v>
                      </c:pt>
                      <c:pt idx="73">
                        <c:v>48493.729999999996</c:v>
                      </c:pt>
                      <c:pt idx="74">
                        <c:v>55352.57</c:v>
                      </c:pt>
                      <c:pt idx="75">
                        <c:v>20936.45</c:v>
                      </c:pt>
                      <c:pt idx="76">
                        <c:v>24833.21</c:v>
                      </c:pt>
                      <c:pt idx="77">
                        <c:v>1619.09</c:v>
                      </c:pt>
                      <c:pt idx="78">
                        <c:v>176356.72999999998</c:v>
                      </c:pt>
                      <c:pt idx="79">
                        <c:v>3186.13</c:v>
                      </c:pt>
                      <c:pt idx="80">
                        <c:v>2557.89</c:v>
                      </c:pt>
                      <c:pt idx="81">
                        <c:v>6768.1100000000006</c:v>
                      </c:pt>
                      <c:pt idx="82">
                        <c:v>6243.98</c:v>
                      </c:pt>
                      <c:pt idx="83">
                        <c:v>2304.85</c:v>
                      </c:pt>
                      <c:pt idx="84">
                        <c:v>290.76</c:v>
                      </c:pt>
                      <c:pt idx="85">
                        <c:v>318.79000000000002</c:v>
                      </c:pt>
                      <c:pt idx="86">
                        <c:v>760.59</c:v>
                      </c:pt>
                      <c:pt idx="87">
                        <c:v>1447.4</c:v>
                      </c:pt>
                      <c:pt idx="88">
                        <c:v>765062.80999999994</c:v>
                      </c:pt>
                      <c:pt idx="89">
                        <c:v>767503.87</c:v>
                      </c:pt>
                      <c:pt idx="90">
                        <c:v>765607.26</c:v>
                      </c:pt>
                      <c:pt idx="91">
                        <c:v>776213.24</c:v>
                      </c:pt>
                      <c:pt idx="92">
                        <c:v>766615.18</c:v>
                      </c:pt>
                      <c:pt idx="93">
                        <c:v>767120.98</c:v>
                      </c:pt>
                      <c:pt idx="94">
                        <c:v>767724.91999999993</c:v>
                      </c:pt>
                      <c:pt idx="95">
                        <c:v>771751.17</c:v>
                      </c:pt>
                      <c:pt idx="96">
                        <c:v>762900.94</c:v>
                      </c:pt>
                      <c:pt idx="97">
                        <c:v>743702.96</c:v>
                      </c:pt>
                      <c:pt idx="98">
                        <c:v>746955.70000000007</c:v>
                      </c:pt>
                      <c:pt idx="99">
                        <c:v>742574.38</c:v>
                      </c:pt>
                      <c:pt idx="100">
                        <c:v>742085.35000000009</c:v>
                      </c:pt>
                      <c:pt idx="101">
                        <c:v>741787.11</c:v>
                      </c:pt>
                      <c:pt idx="102">
                        <c:v>5164.62</c:v>
                      </c:pt>
                      <c:pt idx="103">
                        <c:v>4216.34</c:v>
                      </c:pt>
                      <c:pt idx="104">
                        <c:v>3273.54</c:v>
                      </c:pt>
                      <c:pt idx="105">
                        <c:v>1019.81</c:v>
                      </c:pt>
                      <c:pt idx="106">
                        <c:v>3383.9</c:v>
                      </c:pt>
                      <c:pt idx="107">
                        <c:v>2237.2000000000003</c:v>
                      </c:pt>
                      <c:pt idx="108">
                        <c:v>2178.5</c:v>
                      </c:pt>
                      <c:pt idx="109">
                        <c:v>3483.0699999999997</c:v>
                      </c:pt>
                      <c:pt idx="110">
                        <c:v>2600.2800000000002</c:v>
                      </c:pt>
                      <c:pt idx="111">
                        <c:v>6355.51</c:v>
                      </c:pt>
                      <c:pt idx="112">
                        <c:v>5401.7699999999995</c:v>
                      </c:pt>
                      <c:pt idx="113">
                        <c:v>4586.3500000000004</c:v>
                      </c:pt>
                      <c:pt idx="114">
                        <c:v>18230.46</c:v>
                      </c:pt>
                      <c:pt idx="115">
                        <c:v>4984.57</c:v>
                      </c:pt>
                      <c:pt idx="116">
                        <c:v>38001.29</c:v>
                      </c:pt>
                      <c:pt idx="117">
                        <c:v>38672.720000000001</c:v>
                      </c:pt>
                      <c:pt idx="118">
                        <c:v>63826.5</c:v>
                      </c:pt>
                      <c:pt idx="119">
                        <c:v>54707.549999999996</c:v>
                      </c:pt>
                      <c:pt idx="120">
                        <c:v>56012.37</c:v>
                      </c:pt>
                      <c:pt idx="121">
                        <c:v>56530.590000000004</c:v>
                      </c:pt>
                      <c:pt idx="122">
                        <c:v>10233.31</c:v>
                      </c:pt>
                      <c:pt idx="123">
                        <c:v>10410.34</c:v>
                      </c:pt>
                      <c:pt idx="124">
                        <c:v>14737.37</c:v>
                      </c:pt>
                      <c:pt idx="125">
                        <c:v>10421.4</c:v>
                      </c:pt>
                      <c:pt idx="126">
                        <c:v>10436.209999999999</c:v>
                      </c:pt>
                      <c:pt idx="127">
                        <c:v>9021.85</c:v>
                      </c:pt>
                      <c:pt idx="128">
                        <c:v>11818.65</c:v>
                      </c:pt>
                      <c:pt idx="129">
                        <c:v>10811.970000000001</c:v>
                      </c:pt>
                      <c:pt idx="130">
                        <c:v>7460.45</c:v>
                      </c:pt>
                      <c:pt idx="131">
                        <c:v>9347.7900000000009</c:v>
                      </c:pt>
                      <c:pt idx="132">
                        <c:v>14308.72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EB2-4172-9808-3A74627EBED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'Categories - Chart'!$A$3</c15:sqref>
                        </c15:formulaRef>
                      </c:ext>
                    </c:extLst>
                    <c:strCache>
                      <c:ptCount val="1"/>
                      <c:pt idx="0">
                        <c:v>major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'Categories - Chart'!$B$1:$EI$1</c15:sqref>
                        </c15:formulaRef>
                      </c:ext>
                    </c:extLst>
                    <c:numCache>
                      <c:formatCode>m/d/yyyy</c:formatCode>
                      <c:ptCount val="138"/>
                      <c:pt idx="0">
                        <c:v>41820</c:v>
                      </c:pt>
                      <c:pt idx="1">
                        <c:v>41851</c:v>
                      </c:pt>
                      <c:pt idx="2">
                        <c:v>41882</c:v>
                      </c:pt>
                      <c:pt idx="3">
                        <c:v>41912</c:v>
                      </c:pt>
                      <c:pt idx="4">
                        <c:v>41943</c:v>
                      </c:pt>
                      <c:pt idx="5">
                        <c:v>41973</c:v>
                      </c:pt>
                      <c:pt idx="6">
                        <c:v>42004</c:v>
                      </c:pt>
                      <c:pt idx="7">
                        <c:v>42035</c:v>
                      </c:pt>
                      <c:pt idx="8">
                        <c:v>42063</c:v>
                      </c:pt>
                      <c:pt idx="9">
                        <c:v>42094</c:v>
                      </c:pt>
                      <c:pt idx="10">
                        <c:v>42124</c:v>
                      </c:pt>
                      <c:pt idx="11">
                        <c:v>41790</c:v>
                      </c:pt>
                      <c:pt idx="12">
                        <c:v>42185</c:v>
                      </c:pt>
                      <c:pt idx="13">
                        <c:v>42216</c:v>
                      </c:pt>
                      <c:pt idx="14">
                        <c:v>42247</c:v>
                      </c:pt>
                      <c:pt idx="15">
                        <c:v>42277</c:v>
                      </c:pt>
                      <c:pt idx="16">
                        <c:v>42308</c:v>
                      </c:pt>
                      <c:pt idx="17">
                        <c:v>42338</c:v>
                      </c:pt>
                      <c:pt idx="18">
                        <c:v>42369</c:v>
                      </c:pt>
                      <c:pt idx="19">
                        <c:v>42400</c:v>
                      </c:pt>
                      <c:pt idx="20">
                        <c:v>42429</c:v>
                      </c:pt>
                      <c:pt idx="21">
                        <c:v>42460</c:v>
                      </c:pt>
                      <c:pt idx="22">
                        <c:v>42490</c:v>
                      </c:pt>
                      <c:pt idx="23">
                        <c:v>42521</c:v>
                      </c:pt>
                      <c:pt idx="24">
                        <c:v>42551</c:v>
                      </c:pt>
                      <c:pt idx="25">
                        <c:v>42582</c:v>
                      </c:pt>
                      <c:pt idx="26">
                        <c:v>42613</c:v>
                      </c:pt>
                      <c:pt idx="27">
                        <c:v>42643</c:v>
                      </c:pt>
                      <c:pt idx="28">
                        <c:v>42674</c:v>
                      </c:pt>
                      <c:pt idx="29">
                        <c:v>42704</c:v>
                      </c:pt>
                      <c:pt idx="30">
                        <c:v>42735</c:v>
                      </c:pt>
                      <c:pt idx="31">
                        <c:v>42766</c:v>
                      </c:pt>
                      <c:pt idx="32">
                        <c:v>42794</c:v>
                      </c:pt>
                      <c:pt idx="33">
                        <c:v>42825</c:v>
                      </c:pt>
                      <c:pt idx="34">
                        <c:v>42855</c:v>
                      </c:pt>
                      <c:pt idx="35">
                        <c:v>42886</c:v>
                      </c:pt>
                      <c:pt idx="36">
                        <c:v>42916</c:v>
                      </c:pt>
                      <c:pt idx="37">
                        <c:v>42947</c:v>
                      </c:pt>
                      <c:pt idx="38">
                        <c:v>42978</c:v>
                      </c:pt>
                      <c:pt idx="39">
                        <c:v>43008</c:v>
                      </c:pt>
                      <c:pt idx="40">
                        <c:v>43039</c:v>
                      </c:pt>
                      <c:pt idx="41">
                        <c:v>43069</c:v>
                      </c:pt>
                      <c:pt idx="42">
                        <c:v>43100</c:v>
                      </c:pt>
                      <c:pt idx="43">
                        <c:v>43131</c:v>
                      </c:pt>
                      <c:pt idx="44">
                        <c:v>43159</c:v>
                      </c:pt>
                      <c:pt idx="45">
                        <c:v>43190</c:v>
                      </c:pt>
                      <c:pt idx="46">
                        <c:v>43220</c:v>
                      </c:pt>
                      <c:pt idx="47">
                        <c:v>43251</c:v>
                      </c:pt>
                      <c:pt idx="48">
                        <c:v>43281</c:v>
                      </c:pt>
                      <c:pt idx="49">
                        <c:v>43312</c:v>
                      </c:pt>
                      <c:pt idx="50">
                        <c:v>43343</c:v>
                      </c:pt>
                      <c:pt idx="51">
                        <c:v>43373</c:v>
                      </c:pt>
                      <c:pt idx="52">
                        <c:v>43404</c:v>
                      </c:pt>
                      <c:pt idx="53">
                        <c:v>43434</c:v>
                      </c:pt>
                      <c:pt idx="54">
                        <c:v>43465</c:v>
                      </c:pt>
                      <c:pt idx="55">
                        <c:v>43496</c:v>
                      </c:pt>
                      <c:pt idx="56">
                        <c:v>43524</c:v>
                      </c:pt>
                      <c:pt idx="57">
                        <c:v>43555</c:v>
                      </c:pt>
                      <c:pt idx="58">
                        <c:v>43585</c:v>
                      </c:pt>
                      <c:pt idx="59">
                        <c:v>43616</c:v>
                      </c:pt>
                      <c:pt idx="60">
                        <c:v>43646</c:v>
                      </c:pt>
                      <c:pt idx="61">
                        <c:v>43677</c:v>
                      </c:pt>
                      <c:pt idx="62">
                        <c:v>43708</c:v>
                      </c:pt>
                      <c:pt idx="63">
                        <c:v>43738</c:v>
                      </c:pt>
                      <c:pt idx="64">
                        <c:v>43769</c:v>
                      </c:pt>
                      <c:pt idx="65">
                        <c:v>43799</c:v>
                      </c:pt>
                      <c:pt idx="66">
                        <c:v>43830</c:v>
                      </c:pt>
                      <c:pt idx="67">
                        <c:v>43861</c:v>
                      </c:pt>
                      <c:pt idx="68">
                        <c:v>43890</c:v>
                      </c:pt>
                      <c:pt idx="69">
                        <c:v>43921</c:v>
                      </c:pt>
                      <c:pt idx="70">
                        <c:v>43951</c:v>
                      </c:pt>
                      <c:pt idx="71">
                        <c:v>43982</c:v>
                      </c:pt>
                      <c:pt idx="72">
                        <c:v>44012</c:v>
                      </c:pt>
                      <c:pt idx="73">
                        <c:v>44043</c:v>
                      </c:pt>
                      <c:pt idx="74">
                        <c:v>44074</c:v>
                      </c:pt>
                      <c:pt idx="75">
                        <c:v>44104</c:v>
                      </c:pt>
                      <c:pt idx="76">
                        <c:v>44135</c:v>
                      </c:pt>
                      <c:pt idx="77">
                        <c:v>44165</c:v>
                      </c:pt>
                      <c:pt idx="78">
                        <c:v>44196</c:v>
                      </c:pt>
                      <c:pt idx="79">
                        <c:v>44227</c:v>
                      </c:pt>
                      <c:pt idx="80">
                        <c:v>44255</c:v>
                      </c:pt>
                      <c:pt idx="81">
                        <c:v>44286</c:v>
                      </c:pt>
                      <c:pt idx="82">
                        <c:v>44316</c:v>
                      </c:pt>
                      <c:pt idx="83">
                        <c:v>44347</c:v>
                      </c:pt>
                      <c:pt idx="84">
                        <c:v>44377</c:v>
                      </c:pt>
                      <c:pt idx="85">
                        <c:v>44408</c:v>
                      </c:pt>
                      <c:pt idx="86">
                        <c:v>44439</c:v>
                      </c:pt>
                      <c:pt idx="87">
                        <c:v>44469</c:v>
                      </c:pt>
                      <c:pt idx="88">
                        <c:v>44500</c:v>
                      </c:pt>
                      <c:pt idx="89">
                        <c:v>44530</c:v>
                      </c:pt>
                      <c:pt idx="90">
                        <c:v>44561</c:v>
                      </c:pt>
                      <c:pt idx="91">
                        <c:v>44592</c:v>
                      </c:pt>
                      <c:pt idx="92">
                        <c:v>44620</c:v>
                      </c:pt>
                      <c:pt idx="93">
                        <c:v>44651</c:v>
                      </c:pt>
                      <c:pt idx="94">
                        <c:v>44681</c:v>
                      </c:pt>
                      <c:pt idx="95">
                        <c:v>44712</c:v>
                      </c:pt>
                      <c:pt idx="96">
                        <c:v>44742</c:v>
                      </c:pt>
                      <c:pt idx="97">
                        <c:v>44773</c:v>
                      </c:pt>
                      <c:pt idx="98">
                        <c:v>44804</c:v>
                      </c:pt>
                      <c:pt idx="99">
                        <c:v>44834</c:v>
                      </c:pt>
                      <c:pt idx="100">
                        <c:v>44865</c:v>
                      </c:pt>
                      <c:pt idx="101">
                        <c:v>44895</c:v>
                      </c:pt>
                      <c:pt idx="102">
                        <c:v>44926</c:v>
                      </c:pt>
                      <c:pt idx="103">
                        <c:v>44957</c:v>
                      </c:pt>
                      <c:pt idx="104">
                        <c:v>44985</c:v>
                      </c:pt>
                      <c:pt idx="105">
                        <c:v>45016</c:v>
                      </c:pt>
                      <c:pt idx="106">
                        <c:v>45046</c:v>
                      </c:pt>
                      <c:pt idx="107">
                        <c:v>45077</c:v>
                      </c:pt>
                      <c:pt idx="108">
                        <c:v>45107</c:v>
                      </c:pt>
                      <c:pt idx="109">
                        <c:v>45138</c:v>
                      </c:pt>
                      <c:pt idx="110">
                        <c:v>45169</c:v>
                      </c:pt>
                      <c:pt idx="111">
                        <c:v>45199</c:v>
                      </c:pt>
                      <c:pt idx="112">
                        <c:v>45230</c:v>
                      </c:pt>
                      <c:pt idx="113">
                        <c:v>45260</c:v>
                      </c:pt>
                      <c:pt idx="114">
                        <c:v>45291</c:v>
                      </c:pt>
                      <c:pt idx="115">
                        <c:v>45322</c:v>
                      </c:pt>
                      <c:pt idx="116">
                        <c:v>45351</c:v>
                      </c:pt>
                      <c:pt idx="117">
                        <c:v>45382</c:v>
                      </c:pt>
                      <c:pt idx="118">
                        <c:v>45412</c:v>
                      </c:pt>
                      <c:pt idx="119">
                        <c:v>45443</c:v>
                      </c:pt>
                      <c:pt idx="120">
                        <c:v>45473</c:v>
                      </c:pt>
                      <c:pt idx="121">
                        <c:v>45504</c:v>
                      </c:pt>
                      <c:pt idx="122">
                        <c:v>45535</c:v>
                      </c:pt>
                      <c:pt idx="123">
                        <c:v>45565</c:v>
                      </c:pt>
                      <c:pt idx="124">
                        <c:v>45596</c:v>
                      </c:pt>
                      <c:pt idx="125">
                        <c:v>45626</c:v>
                      </c:pt>
                      <c:pt idx="126">
                        <c:v>45657</c:v>
                      </c:pt>
                      <c:pt idx="127">
                        <c:v>45688</c:v>
                      </c:pt>
                      <c:pt idx="128">
                        <c:v>45716</c:v>
                      </c:pt>
                      <c:pt idx="129">
                        <c:v>45747</c:v>
                      </c:pt>
                      <c:pt idx="130">
                        <c:v>45777</c:v>
                      </c:pt>
                      <c:pt idx="131">
                        <c:v>45808</c:v>
                      </c:pt>
                      <c:pt idx="132">
                        <c:v>45838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'Categories - Chart'!$B$3:$EI$3</c15:sqref>
                        </c15:formulaRef>
                      </c:ext>
                    </c:extLst>
                    <c:numCache>
                      <c:formatCode>"$"#,##0_);[Red]\("$"#,##0\)</c:formatCode>
                      <c:ptCount val="1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0.05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649.12</c:v>
                      </c:pt>
                      <c:pt idx="33">
                        <c:v>649.12</c:v>
                      </c:pt>
                      <c:pt idx="34">
                        <c:v>649.12</c:v>
                      </c:pt>
                      <c:pt idx="35">
                        <c:v>1372.58</c:v>
                      </c:pt>
                      <c:pt idx="36">
                        <c:v>1385.46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855.85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32.99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124.81</c:v>
                      </c:pt>
                      <c:pt idx="80">
                        <c:v>67475.28</c:v>
                      </c:pt>
                      <c:pt idx="81">
                        <c:v>123769.15999999999</c:v>
                      </c:pt>
                      <c:pt idx="82">
                        <c:v>121276.68</c:v>
                      </c:pt>
                      <c:pt idx="83">
                        <c:v>66259.03</c:v>
                      </c:pt>
                      <c:pt idx="84">
                        <c:v>104582.83</c:v>
                      </c:pt>
                      <c:pt idx="85">
                        <c:v>108661.31</c:v>
                      </c:pt>
                      <c:pt idx="86">
                        <c:v>128368.06</c:v>
                      </c:pt>
                      <c:pt idx="87">
                        <c:v>173722.65</c:v>
                      </c:pt>
                      <c:pt idx="88">
                        <c:v>1965.61</c:v>
                      </c:pt>
                      <c:pt idx="89">
                        <c:v>0</c:v>
                      </c:pt>
                      <c:pt idx="90">
                        <c:v>1407.27</c:v>
                      </c:pt>
                      <c:pt idx="91">
                        <c:v>775.82</c:v>
                      </c:pt>
                      <c:pt idx="92">
                        <c:v>70579.709999999992</c:v>
                      </c:pt>
                      <c:pt idx="93">
                        <c:v>71924.009999999995</c:v>
                      </c:pt>
                      <c:pt idx="94">
                        <c:v>0</c:v>
                      </c:pt>
                      <c:pt idx="95">
                        <c:v>1458.93</c:v>
                      </c:pt>
                      <c:pt idx="96">
                        <c:v>73059.62999999999</c:v>
                      </c:pt>
                      <c:pt idx="97">
                        <c:v>98547.28</c:v>
                      </c:pt>
                      <c:pt idx="98">
                        <c:v>89320.590000000011</c:v>
                      </c:pt>
                      <c:pt idx="99">
                        <c:v>0</c:v>
                      </c:pt>
                      <c:pt idx="100">
                        <c:v>2717.17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524.74</c:v>
                      </c:pt>
                      <c:pt idx="106">
                        <c:v>0</c:v>
                      </c:pt>
                      <c:pt idx="107">
                        <c:v>947.37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1093.67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457.29</c:v>
                      </c:pt>
                      <c:pt idx="131">
                        <c:v>0</c:v>
                      </c:pt>
                      <c:pt idx="13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EB2-4172-9808-3A74627EBED5}"/>
                  </c:ext>
                </c:extLst>
              </c15:ser>
            </c15:filteredLineSeries>
          </c:ext>
        </c:extLst>
      </c:lineChart>
      <c:dateAx>
        <c:axId val="451283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83624"/>
        <c:crosses val="autoZero"/>
        <c:auto val="1"/>
        <c:lblOffset val="100"/>
        <c:baseTimeUnit val="months"/>
      </c:dateAx>
      <c:valAx>
        <c:axId val="4512836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83296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'Monthly Summary'!$HZ$16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'Monthly Summary'!$HW$18:$HW$36</c:f>
              <c:strCache>
                <c:ptCount val="19"/>
                <c:pt idx="0">
                  <c:v>2006/07</c:v>
                </c:pt>
                <c:pt idx="1">
                  <c:v>2007/08</c:v>
                </c:pt>
                <c:pt idx="2">
                  <c:v>2008/09</c:v>
                </c:pt>
                <c:pt idx="3">
                  <c:v>2009/10</c:v>
                </c:pt>
                <c:pt idx="4">
                  <c:v>2010/11</c:v>
                </c:pt>
                <c:pt idx="5">
                  <c:v>2011/12</c:v>
                </c:pt>
                <c:pt idx="6">
                  <c:v>2012/13</c:v>
                </c:pt>
                <c:pt idx="7">
                  <c:v>2013/14</c:v>
                </c:pt>
                <c:pt idx="8">
                  <c:v>2014/15</c:v>
                </c:pt>
                <c:pt idx="9">
                  <c:v>2015/16</c:v>
                </c:pt>
                <c:pt idx="10">
                  <c:v>2016/17</c:v>
                </c:pt>
                <c:pt idx="11">
                  <c:v>2017/18</c:v>
                </c:pt>
                <c:pt idx="12">
                  <c:v>2018/19</c:v>
                </c:pt>
                <c:pt idx="13">
                  <c:v>2019/20</c:v>
                </c:pt>
                <c:pt idx="14">
                  <c:v>2020/21</c:v>
                </c:pt>
                <c:pt idx="15">
                  <c:v>2021/22</c:v>
                </c:pt>
                <c:pt idx="16">
                  <c:v>2022/23</c:v>
                </c:pt>
                <c:pt idx="17">
                  <c:v>2023/24</c:v>
                </c:pt>
                <c:pt idx="18">
                  <c:v>2024/25</c:v>
                </c:pt>
              </c:strCache>
            </c:strRef>
          </c:cat>
          <c:val>
            <c:numRef>
              <c:f>'Monthly Summary'!$HZ$18:$HZ$36</c:f>
              <c:numCache>
                <c:formatCode>0.00%</c:formatCode>
                <c:ptCount val="19"/>
                <c:pt idx="0">
                  <c:v>2.9257078637654917E-2</c:v>
                </c:pt>
                <c:pt idx="1">
                  <c:v>1.932848151062156E-2</c:v>
                </c:pt>
                <c:pt idx="2">
                  <c:v>2.1185311488373243E-2</c:v>
                </c:pt>
                <c:pt idx="3">
                  <c:v>2.079075562340053E-2</c:v>
                </c:pt>
                <c:pt idx="4">
                  <c:v>1.8997651786598041E-2</c:v>
                </c:pt>
                <c:pt idx="5">
                  <c:v>1.6191994112333991E-2</c:v>
                </c:pt>
                <c:pt idx="6">
                  <c:v>1.7402084928750547E-2</c:v>
                </c:pt>
                <c:pt idx="7">
                  <c:v>1.7979104846101532E-2</c:v>
                </c:pt>
                <c:pt idx="8">
                  <c:v>1.4778082332467976E-2</c:v>
                </c:pt>
                <c:pt idx="9">
                  <c:v>1.4621438056863969E-2</c:v>
                </c:pt>
                <c:pt idx="10">
                  <c:v>1.4706042069924995E-2</c:v>
                </c:pt>
                <c:pt idx="11">
                  <c:v>1.619130774152271E-2</c:v>
                </c:pt>
                <c:pt idx="12">
                  <c:v>1.6562216510903428E-2</c:v>
                </c:pt>
                <c:pt idx="13">
                  <c:v>1.7139368541739232E-2</c:v>
                </c:pt>
                <c:pt idx="14">
                  <c:v>2.0124042519181585E-2</c:v>
                </c:pt>
                <c:pt idx="15">
                  <c:v>1.9243303558267737E-2</c:v>
                </c:pt>
                <c:pt idx="16">
                  <c:v>1.7734025038855857E-2</c:v>
                </c:pt>
                <c:pt idx="17">
                  <c:v>1.9870523585271825E-2</c:v>
                </c:pt>
                <c:pt idx="18">
                  <c:v>2.2617092400445054E-2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E-459B-AA4B-D19C1BB21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274928"/>
        <c:axId val="1"/>
      </c:lineChart>
      <c:catAx>
        <c:axId val="59827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4.0000000000000008E-2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274928"/>
        <c:crosses val="max"/>
        <c:crossBetween val="between"/>
        <c:majorUnit val="1.0000000000000002E-2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69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027957948046446E-2"/>
          <c:y val="0.14709177126670012"/>
          <c:w val="0.87832838064145002"/>
          <c:h val="0.74703973560964743"/>
        </c:manualLayout>
      </c:layout>
      <c:lineChart>
        <c:grouping val="standard"/>
        <c:varyColors val="0"/>
        <c:ser>
          <c:idx val="0"/>
          <c:order val="0"/>
          <c:tx>
            <c:strRef>
              <c:f>'Monthly Summary'!$CM$11</c:f>
              <c:strCache>
                <c:ptCount val="1"/>
                <c:pt idx="0">
                  <c:v>Parked debt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'Monthly Summary'!$CN$10:$HU$10</c:f>
              <c:numCache>
                <c:formatCode>mmm\-yy</c:formatCode>
                <c:ptCount val="13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  <c:pt idx="116">
                  <c:v>45536</c:v>
                </c:pt>
                <c:pt idx="117">
                  <c:v>45566</c:v>
                </c:pt>
                <c:pt idx="118">
                  <c:v>45597</c:v>
                </c:pt>
                <c:pt idx="119">
                  <c:v>45627</c:v>
                </c:pt>
                <c:pt idx="120">
                  <c:v>45658</c:v>
                </c:pt>
                <c:pt idx="121">
                  <c:v>45689</c:v>
                </c:pt>
                <c:pt idx="122">
                  <c:v>45717</c:v>
                </c:pt>
                <c:pt idx="123">
                  <c:v>45748</c:v>
                </c:pt>
                <c:pt idx="124">
                  <c:v>45778</c:v>
                </c:pt>
                <c:pt idx="125">
                  <c:v>45809</c:v>
                </c:pt>
                <c:pt idx="126">
                  <c:v>45839</c:v>
                </c:pt>
                <c:pt idx="127">
                  <c:v>45870</c:v>
                </c:pt>
                <c:pt idx="128">
                  <c:v>45901</c:v>
                </c:pt>
                <c:pt idx="129">
                  <c:v>45931</c:v>
                </c:pt>
                <c:pt idx="130">
                  <c:v>45962</c:v>
                </c:pt>
                <c:pt idx="131">
                  <c:v>45992</c:v>
                </c:pt>
                <c:pt idx="132">
                  <c:v>46023</c:v>
                </c:pt>
                <c:pt idx="133">
                  <c:v>46054</c:v>
                </c:pt>
                <c:pt idx="134">
                  <c:v>46082</c:v>
                </c:pt>
                <c:pt idx="135">
                  <c:v>46113</c:v>
                </c:pt>
                <c:pt idx="136">
                  <c:v>46143</c:v>
                </c:pt>
                <c:pt idx="137">
                  <c:v>46174</c:v>
                </c:pt>
              </c:numCache>
            </c:numRef>
          </c:cat>
          <c:val>
            <c:numRef>
              <c:f>'Monthly Summary'!$CN$11:$HU$11</c:f>
              <c:numCache>
                <c:formatCode>_-"$"* #,##0_-;\-"$"* #,##0_-;_-"$"* "-"??_-;_-@_-</c:formatCode>
                <c:ptCount val="138"/>
                <c:pt idx="0">
                  <c:v>208839.18</c:v>
                </c:pt>
                <c:pt idx="1">
                  <c:v>214253.64</c:v>
                </c:pt>
                <c:pt idx="2">
                  <c:v>192727.48</c:v>
                </c:pt>
                <c:pt idx="3">
                  <c:v>178408.47</c:v>
                </c:pt>
                <c:pt idx="4">
                  <c:v>172806.19</c:v>
                </c:pt>
                <c:pt idx="5">
                  <c:v>178103.13</c:v>
                </c:pt>
                <c:pt idx="6">
                  <c:v>178388.08</c:v>
                </c:pt>
                <c:pt idx="7">
                  <c:v>184881.83</c:v>
                </c:pt>
                <c:pt idx="8">
                  <c:v>191650.99</c:v>
                </c:pt>
                <c:pt idx="9">
                  <c:v>223120.80000000002</c:v>
                </c:pt>
                <c:pt idx="10">
                  <c:v>240857.61</c:v>
                </c:pt>
                <c:pt idx="11">
                  <c:v>237969.28</c:v>
                </c:pt>
                <c:pt idx="12">
                  <c:v>241213.5</c:v>
                </c:pt>
                <c:pt idx="13">
                  <c:v>248963.24</c:v>
                </c:pt>
                <c:pt idx="14">
                  <c:v>211396.04</c:v>
                </c:pt>
                <c:pt idx="15">
                  <c:v>228025.16</c:v>
                </c:pt>
                <c:pt idx="16">
                  <c:v>275287.18</c:v>
                </c:pt>
                <c:pt idx="17">
                  <c:v>261287.83000000002</c:v>
                </c:pt>
                <c:pt idx="18">
                  <c:v>248412.35</c:v>
                </c:pt>
                <c:pt idx="19">
                  <c:v>250518.25</c:v>
                </c:pt>
                <c:pt idx="20">
                  <c:v>256832.35</c:v>
                </c:pt>
                <c:pt idx="21">
                  <c:v>267139.81</c:v>
                </c:pt>
                <c:pt idx="22">
                  <c:v>270923</c:v>
                </c:pt>
                <c:pt idx="23">
                  <c:v>210481.29</c:v>
                </c:pt>
                <c:pt idx="24">
                  <c:v>222369.31</c:v>
                </c:pt>
                <c:pt idx="25">
                  <c:v>288335.62</c:v>
                </c:pt>
                <c:pt idx="26">
                  <c:v>274045.02</c:v>
                </c:pt>
                <c:pt idx="27">
                  <c:v>276912.00999999995</c:v>
                </c:pt>
                <c:pt idx="28">
                  <c:v>278745.84999999998</c:v>
                </c:pt>
                <c:pt idx="29">
                  <c:v>298044.75</c:v>
                </c:pt>
                <c:pt idx="30">
                  <c:v>303197.05</c:v>
                </c:pt>
                <c:pt idx="31">
                  <c:v>335704.21</c:v>
                </c:pt>
                <c:pt idx="32">
                  <c:v>335715.11</c:v>
                </c:pt>
                <c:pt idx="33">
                  <c:v>338251.73</c:v>
                </c:pt>
                <c:pt idx="34">
                  <c:v>348443.14</c:v>
                </c:pt>
                <c:pt idx="35">
                  <c:v>376246.81</c:v>
                </c:pt>
                <c:pt idx="36">
                  <c:v>385554.62</c:v>
                </c:pt>
                <c:pt idx="37">
                  <c:v>439154.78</c:v>
                </c:pt>
                <c:pt idx="38">
                  <c:v>457179.02</c:v>
                </c:pt>
                <c:pt idx="39">
                  <c:v>466858.43</c:v>
                </c:pt>
                <c:pt idx="40">
                  <c:v>472548.83</c:v>
                </c:pt>
                <c:pt idx="41">
                  <c:v>487256.8</c:v>
                </c:pt>
                <c:pt idx="42">
                  <c:v>537210.71</c:v>
                </c:pt>
                <c:pt idx="43">
                  <c:v>557930.99</c:v>
                </c:pt>
                <c:pt idx="44">
                  <c:v>585327.35999999999</c:v>
                </c:pt>
                <c:pt idx="45">
                  <c:v>578187.79</c:v>
                </c:pt>
                <c:pt idx="46">
                  <c:v>584200.04</c:v>
                </c:pt>
                <c:pt idx="47">
                  <c:v>586754.09</c:v>
                </c:pt>
                <c:pt idx="48">
                  <c:v>613662.37</c:v>
                </c:pt>
                <c:pt idx="49">
                  <c:v>658130.16</c:v>
                </c:pt>
                <c:pt idx="50">
                  <c:v>655926.16</c:v>
                </c:pt>
                <c:pt idx="51">
                  <c:v>650172.09</c:v>
                </c:pt>
                <c:pt idx="52">
                  <c:v>675917.68</c:v>
                </c:pt>
                <c:pt idx="53">
                  <c:v>687839.54</c:v>
                </c:pt>
                <c:pt idx="54">
                  <c:v>678682.28</c:v>
                </c:pt>
                <c:pt idx="55">
                  <c:v>645161.81000000006</c:v>
                </c:pt>
                <c:pt idx="56">
                  <c:v>603551.57999999996</c:v>
                </c:pt>
                <c:pt idx="57">
                  <c:v>601774.51</c:v>
                </c:pt>
                <c:pt idx="58">
                  <c:v>609923</c:v>
                </c:pt>
                <c:pt idx="59">
                  <c:v>587075.29999999993</c:v>
                </c:pt>
                <c:pt idx="60">
                  <c:v>649163.66</c:v>
                </c:pt>
                <c:pt idx="61">
                  <c:v>671741.56</c:v>
                </c:pt>
                <c:pt idx="62">
                  <c:v>674337.9</c:v>
                </c:pt>
                <c:pt idx="63">
                  <c:v>664468.36</c:v>
                </c:pt>
                <c:pt idx="64">
                  <c:v>681763.9</c:v>
                </c:pt>
                <c:pt idx="65">
                  <c:v>677805.84</c:v>
                </c:pt>
                <c:pt idx="66" formatCode="_(&quot;$&quot;* #,##0_);_(&quot;$&quot;* \(#,##0\);_(&quot;$&quot;* &quot;-&quot;_);_(@_)">
                  <c:v>666552.13</c:v>
                </c:pt>
                <c:pt idx="67">
                  <c:v>685427.67</c:v>
                </c:pt>
                <c:pt idx="68">
                  <c:v>695866.72</c:v>
                </c:pt>
                <c:pt idx="69">
                  <c:v>701196.58</c:v>
                </c:pt>
                <c:pt idx="70">
                  <c:v>712976.36</c:v>
                </c:pt>
                <c:pt idx="71">
                  <c:v>635420.67000000004</c:v>
                </c:pt>
                <c:pt idx="72">
                  <c:v>642076.74</c:v>
                </c:pt>
                <c:pt idx="73">
                  <c:v>668534.27</c:v>
                </c:pt>
                <c:pt idx="74">
                  <c:v>678839.98</c:v>
                </c:pt>
                <c:pt idx="75">
                  <c:v>648399.1</c:v>
                </c:pt>
                <c:pt idx="76">
                  <c:v>681731.09</c:v>
                </c:pt>
                <c:pt idx="77">
                  <c:v>679167.94</c:v>
                </c:pt>
                <c:pt idx="78">
                  <c:v>679395.48</c:v>
                </c:pt>
                <c:pt idx="79">
                  <c:v>725175.82</c:v>
                </c:pt>
                <c:pt idx="80">
                  <c:v>748667.39999999991</c:v>
                </c:pt>
                <c:pt idx="81">
                  <c:v>749441.64</c:v>
                </c:pt>
                <c:pt idx="82">
                  <c:v>729198.05</c:v>
                </c:pt>
                <c:pt idx="83">
                  <c:v>740654.1399999999</c:v>
                </c:pt>
                <c:pt idx="84">
                  <c:v>733563.78999999992</c:v>
                </c:pt>
                <c:pt idx="85">
                  <c:v>665678.14</c:v>
                </c:pt>
                <c:pt idx="86">
                  <c:v>651780.37</c:v>
                </c:pt>
                <c:pt idx="87">
                  <c:v>644952.48</c:v>
                </c:pt>
                <c:pt idx="88">
                  <c:v>656098.97</c:v>
                </c:pt>
                <c:pt idx="89">
                  <c:v>678394.21</c:v>
                </c:pt>
                <c:pt idx="90">
                  <c:v>680173.74</c:v>
                </c:pt>
                <c:pt idx="91">
                  <c:v>686034</c:v>
                </c:pt>
                <c:pt idx="92">
                  <c:v>697231.29</c:v>
                </c:pt>
                <c:pt idx="93">
                  <c:v>676079.23</c:v>
                </c:pt>
                <c:pt idx="94">
                  <c:v>695688.91999999993</c:v>
                </c:pt>
                <c:pt idx="95">
                  <c:v>675675.12</c:v>
                </c:pt>
                <c:pt idx="96">
                  <c:v>681965.69000000006</c:v>
                </c:pt>
                <c:pt idx="97">
                  <c:v>757708.08000000007</c:v>
                </c:pt>
                <c:pt idx="98">
                  <c:v>774914.05</c:v>
                </c:pt>
                <c:pt idx="99">
                  <c:v>811654.38</c:v>
                </c:pt>
                <c:pt idx="100">
                  <c:v>821377.1100000001</c:v>
                </c:pt>
                <c:pt idx="101">
                  <c:v>835763.36</c:v>
                </c:pt>
                <c:pt idx="102">
                  <c:v>833120.08</c:v>
                </c:pt>
                <c:pt idx="103">
                  <c:v>847214.88</c:v>
                </c:pt>
                <c:pt idx="104">
                  <c:v>866832.65</c:v>
                </c:pt>
                <c:pt idx="105">
                  <c:v>862748.82000000007</c:v>
                </c:pt>
                <c:pt idx="106">
                  <c:v>880146.96</c:v>
                </c:pt>
                <c:pt idx="107">
                  <c:v>874231.74</c:v>
                </c:pt>
                <c:pt idx="108">
                  <c:v>862966.68</c:v>
                </c:pt>
                <c:pt idx="109">
                  <c:v>877421.61</c:v>
                </c:pt>
                <c:pt idx="110">
                  <c:v>915705.01</c:v>
                </c:pt>
                <c:pt idx="111">
                  <c:v>914639.30999999994</c:v>
                </c:pt>
                <c:pt idx="112">
                  <c:v>884904.09</c:v>
                </c:pt>
                <c:pt idx="113">
                  <c:v>916197.06</c:v>
                </c:pt>
                <c:pt idx="114">
                  <c:v>911342.07</c:v>
                </c:pt>
                <c:pt idx="115">
                  <c:v>931176.01</c:v>
                </c:pt>
                <c:pt idx="116">
                  <c:v>956551.56</c:v>
                </c:pt>
                <c:pt idx="117">
                  <c:v>955097.3</c:v>
                </c:pt>
                <c:pt idx="118">
                  <c:v>982738.5</c:v>
                </c:pt>
                <c:pt idx="119">
                  <c:v>1064022.6599999999</c:v>
                </c:pt>
                <c:pt idx="120">
                  <c:v>1062395.03</c:v>
                </c:pt>
                <c:pt idx="121">
                  <c:v>1066309.1000000001</c:v>
                </c:pt>
                <c:pt idx="122">
                  <c:v>1115290.43</c:v>
                </c:pt>
                <c:pt idx="123">
                  <c:v>1089390.51</c:v>
                </c:pt>
                <c:pt idx="124">
                  <c:v>1101636.6600000001</c:v>
                </c:pt>
                <c:pt idx="125">
                  <c:v>1125805.93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7-4781-ABE5-FBB1A11DFA2E}"/>
            </c:ext>
          </c:extLst>
        </c:ser>
        <c:ser>
          <c:idx val="1"/>
          <c:order val="1"/>
          <c:tx>
            <c:strRef>
              <c:f>'Monthly Summary'!$CM$12</c:f>
              <c:strCache>
                <c:ptCount val="1"/>
                <c:pt idx="0">
                  <c:v>Active debt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'Monthly Summary'!$CN$10:$HU$10</c:f>
              <c:numCache>
                <c:formatCode>mmm\-yy</c:formatCode>
                <c:ptCount val="13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  <c:pt idx="116">
                  <c:v>45536</c:v>
                </c:pt>
                <c:pt idx="117">
                  <c:v>45566</c:v>
                </c:pt>
                <c:pt idx="118">
                  <c:v>45597</c:v>
                </c:pt>
                <c:pt idx="119">
                  <c:v>45627</c:v>
                </c:pt>
                <c:pt idx="120">
                  <c:v>45658</c:v>
                </c:pt>
                <c:pt idx="121">
                  <c:v>45689</c:v>
                </c:pt>
                <c:pt idx="122">
                  <c:v>45717</c:v>
                </c:pt>
                <c:pt idx="123">
                  <c:v>45748</c:v>
                </c:pt>
                <c:pt idx="124">
                  <c:v>45778</c:v>
                </c:pt>
                <c:pt idx="125">
                  <c:v>45809</c:v>
                </c:pt>
                <c:pt idx="126">
                  <c:v>45839</c:v>
                </c:pt>
                <c:pt idx="127">
                  <c:v>45870</c:v>
                </c:pt>
                <c:pt idx="128">
                  <c:v>45901</c:v>
                </c:pt>
                <c:pt idx="129">
                  <c:v>45931</c:v>
                </c:pt>
                <c:pt idx="130">
                  <c:v>45962</c:v>
                </c:pt>
                <c:pt idx="131">
                  <c:v>45992</c:v>
                </c:pt>
                <c:pt idx="132">
                  <c:v>46023</c:v>
                </c:pt>
                <c:pt idx="133">
                  <c:v>46054</c:v>
                </c:pt>
                <c:pt idx="134">
                  <c:v>46082</c:v>
                </c:pt>
                <c:pt idx="135">
                  <c:v>46113</c:v>
                </c:pt>
                <c:pt idx="136">
                  <c:v>46143</c:v>
                </c:pt>
                <c:pt idx="137">
                  <c:v>46174</c:v>
                </c:pt>
              </c:numCache>
            </c:numRef>
          </c:cat>
          <c:val>
            <c:numRef>
              <c:f>'Monthly Summary'!$CN$12:$HU$12</c:f>
              <c:numCache>
                <c:formatCode>_-"$"* #,##0_-;\-"$"* #,##0_-;_-"$"* "-"??_-;_-@_-</c:formatCode>
                <c:ptCount val="138"/>
                <c:pt idx="0">
                  <c:v>802998.39999999991</c:v>
                </c:pt>
                <c:pt idx="1">
                  <c:v>851202.2699999999</c:v>
                </c:pt>
                <c:pt idx="2">
                  <c:v>813252.30999999994</c:v>
                </c:pt>
                <c:pt idx="3">
                  <c:v>772330.17999999993</c:v>
                </c:pt>
                <c:pt idx="4">
                  <c:v>851877.6100000001</c:v>
                </c:pt>
                <c:pt idx="5">
                  <c:v>857929.1100000001</c:v>
                </c:pt>
                <c:pt idx="6">
                  <c:v>771043.21</c:v>
                </c:pt>
                <c:pt idx="7">
                  <c:v>814192.4800000001</c:v>
                </c:pt>
                <c:pt idx="8">
                  <c:v>753997.11999999988</c:v>
                </c:pt>
                <c:pt idx="9">
                  <c:v>683281.42999999993</c:v>
                </c:pt>
                <c:pt idx="10">
                  <c:v>752538.40000000014</c:v>
                </c:pt>
                <c:pt idx="11">
                  <c:v>723956.03999999992</c:v>
                </c:pt>
                <c:pt idx="12">
                  <c:v>727919.43</c:v>
                </c:pt>
                <c:pt idx="13">
                  <c:v>744930.20000000007</c:v>
                </c:pt>
                <c:pt idx="14">
                  <c:v>742003.5</c:v>
                </c:pt>
                <c:pt idx="15">
                  <c:v>718279.15</c:v>
                </c:pt>
                <c:pt idx="16">
                  <c:v>782521.08000000007</c:v>
                </c:pt>
                <c:pt idx="17">
                  <c:v>769289.6100000001</c:v>
                </c:pt>
                <c:pt idx="18">
                  <c:v>679548.40999999992</c:v>
                </c:pt>
                <c:pt idx="19">
                  <c:v>675864.00999999989</c:v>
                </c:pt>
                <c:pt idx="20">
                  <c:v>641910.14</c:v>
                </c:pt>
                <c:pt idx="21">
                  <c:v>633481.22</c:v>
                </c:pt>
                <c:pt idx="22">
                  <c:v>686264.62000000011</c:v>
                </c:pt>
                <c:pt idx="23">
                  <c:v>798677.24</c:v>
                </c:pt>
                <c:pt idx="24">
                  <c:v>723658.76</c:v>
                </c:pt>
                <c:pt idx="25">
                  <c:v>739909.5199999999</c:v>
                </c:pt>
                <c:pt idx="26">
                  <c:v>687257.54</c:v>
                </c:pt>
                <c:pt idx="27">
                  <c:v>668603.14000000013</c:v>
                </c:pt>
                <c:pt idx="28">
                  <c:v>780496.94000000006</c:v>
                </c:pt>
                <c:pt idx="29">
                  <c:v>674436.4</c:v>
                </c:pt>
                <c:pt idx="30">
                  <c:v>604879.51</c:v>
                </c:pt>
                <c:pt idx="31">
                  <c:v>634067.10999999987</c:v>
                </c:pt>
                <c:pt idx="32">
                  <c:v>614610.15</c:v>
                </c:pt>
                <c:pt idx="33">
                  <c:v>592700.41</c:v>
                </c:pt>
                <c:pt idx="34">
                  <c:v>636049.42999999993</c:v>
                </c:pt>
                <c:pt idx="35">
                  <c:v>638304.19000000018</c:v>
                </c:pt>
                <c:pt idx="36">
                  <c:v>612677.8600000001</c:v>
                </c:pt>
                <c:pt idx="37">
                  <c:v>708975.15999999992</c:v>
                </c:pt>
                <c:pt idx="38">
                  <c:v>719929.33000000007</c:v>
                </c:pt>
                <c:pt idx="39">
                  <c:v>585099.04</c:v>
                </c:pt>
                <c:pt idx="40">
                  <c:v>644526.14999999991</c:v>
                </c:pt>
                <c:pt idx="41">
                  <c:v>651558.82999999984</c:v>
                </c:pt>
                <c:pt idx="42">
                  <c:v>580729.62999999989</c:v>
                </c:pt>
                <c:pt idx="43">
                  <c:v>638919.43999999994</c:v>
                </c:pt>
                <c:pt idx="44">
                  <c:v>626139.21000000031</c:v>
                </c:pt>
                <c:pt idx="45">
                  <c:v>585226.48</c:v>
                </c:pt>
                <c:pt idx="46">
                  <c:v>583658.2899999998</c:v>
                </c:pt>
                <c:pt idx="47">
                  <c:v>581904.46000000008</c:v>
                </c:pt>
                <c:pt idx="48">
                  <c:v>492495.37999999977</c:v>
                </c:pt>
                <c:pt idx="49">
                  <c:v>516837.42999999982</c:v>
                </c:pt>
                <c:pt idx="50">
                  <c:v>497338.81999999995</c:v>
                </c:pt>
                <c:pt idx="51">
                  <c:v>404879.9800000001</c:v>
                </c:pt>
                <c:pt idx="52">
                  <c:v>469191.45999999985</c:v>
                </c:pt>
                <c:pt idx="53">
                  <c:v>481784.18999999994</c:v>
                </c:pt>
                <c:pt idx="54">
                  <c:v>443567.08999999985</c:v>
                </c:pt>
                <c:pt idx="55">
                  <c:v>662932.31999999983</c:v>
                </c:pt>
                <c:pt idx="56">
                  <c:v>652271.35999999999</c:v>
                </c:pt>
                <c:pt idx="57">
                  <c:v>544367.21</c:v>
                </c:pt>
                <c:pt idx="58">
                  <c:v>572745.17000000016</c:v>
                </c:pt>
                <c:pt idx="59">
                  <c:v>583097.71000000008</c:v>
                </c:pt>
                <c:pt idx="60">
                  <c:v>463782.02000000014</c:v>
                </c:pt>
                <c:pt idx="61">
                  <c:v>433464.45999999996</c:v>
                </c:pt>
                <c:pt idx="62">
                  <c:v>432947.65</c:v>
                </c:pt>
                <c:pt idx="63">
                  <c:v>438918.89</c:v>
                </c:pt>
                <c:pt idx="64">
                  <c:v>498617.04999999993</c:v>
                </c:pt>
                <c:pt idx="65">
                  <c:v>503165.21000000008</c:v>
                </c:pt>
                <c:pt idx="66">
                  <c:v>433814.48999999987</c:v>
                </c:pt>
                <c:pt idx="67">
                  <c:v>515689.50000000012</c:v>
                </c:pt>
                <c:pt idx="68">
                  <c:v>485240.24999999977</c:v>
                </c:pt>
                <c:pt idx="69">
                  <c:v>472532.44000000006</c:v>
                </c:pt>
                <c:pt idx="70">
                  <c:v>503310.78000000014</c:v>
                </c:pt>
                <c:pt idx="71">
                  <c:v>658290.67999999982</c:v>
                </c:pt>
                <c:pt idx="72">
                  <c:v>493860.04000000004</c:v>
                </c:pt>
                <c:pt idx="73">
                  <c:v>557147.09999999986</c:v>
                </c:pt>
                <c:pt idx="74">
                  <c:v>614803.13000000012</c:v>
                </c:pt>
                <c:pt idx="75">
                  <c:v>644660.47000000009</c:v>
                </c:pt>
                <c:pt idx="76">
                  <c:v>665388.91</c:v>
                </c:pt>
                <c:pt idx="77">
                  <c:v>705688.16999999993</c:v>
                </c:pt>
                <c:pt idx="78">
                  <c:v>714906.16999999993</c:v>
                </c:pt>
                <c:pt idx="79">
                  <c:v>734128.22000000032</c:v>
                </c:pt>
                <c:pt idx="80">
                  <c:v>743746.89999999991</c:v>
                </c:pt>
                <c:pt idx="81">
                  <c:v>591020.69000000006</c:v>
                </c:pt>
                <c:pt idx="82">
                  <c:v>614643.78</c:v>
                </c:pt>
                <c:pt idx="83">
                  <c:v>613186.01</c:v>
                </c:pt>
                <c:pt idx="84">
                  <c:v>627152.76000000013</c:v>
                </c:pt>
                <c:pt idx="85">
                  <c:v>719927.43999999983</c:v>
                </c:pt>
                <c:pt idx="86">
                  <c:v>658705.19999999984</c:v>
                </c:pt>
                <c:pt idx="87">
                  <c:v>550020.92999999993</c:v>
                </c:pt>
                <c:pt idx="88">
                  <c:v>580198.70000000019</c:v>
                </c:pt>
                <c:pt idx="89">
                  <c:v>627109.99</c:v>
                </c:pt>
                <c:pt idx="90">
                  <c:v>608067.57999999984</c:v>
                </c:pt>
                <c:pt idx="91">
                  <c:v>615733.92999999993</c:v>
                </c:pt>
                <c:pt idx="92">
                  <c:v>464117.28</c:v>
                </c:pt>
                <c:pt idx="93">
                  <c:v>428081.58000000007</c:v>
                </c:pt>
                <c:pt idx="94">
                  <c:v>459236.99000000022</c:v>
                </c:pt>
                <c:pt idx="95">
                  <c:v>448242.27000000037</c:v>
                </c:pt>
                <c:pt idx="96">
                  <c:v>434151.18000000005</c:v>
                </c:pt>
                <c:pt idx="97">
                  <c:v>491747.20999999996</c:v>
                </c:pt>
                <c:pt idx="98">
                  <c:v>427548.01</c:v>
                </c:pt>
                <c:pt idx="99">
                  <c:v>389185.54999999993</c:v>
                </c:pt>
                <c:pt idx="100">
                  <c:v>419024.7799999998</c:v>
                </c:pt>
                <c:pt idx="101">
                  <c:v>407941.55000000016</c:v>
                </c:pt>
                <c:pt idx="102">
                  <c:v>411628.87000000023</c:v>
                </c:pt>
                <c:pt idx="103">
                  <c:v>466649.41000000003</c:v>
                </c:pt>
                <c:pt idx="104">
                  <c:v>460633.88</c:v>
                </c:pt>
                <c:pt idx="105">
                  <c:v>464862.42000000016</c:v>
                </c:pt>
                <c:pt idx="106">
                  <c:v>499372.77000000025</c:v>
                </c:pt>
                <c:pt idx="107">
                  <c:v>475054.54000000004</c:v>
                </c:pt>
                <c:pt idx="108">
                  <c:v>473886.35</c:v>
                </c:pt>
                <c:pt idx="109">
                  <c:v>512591.11</c:v>
                </c:pt>
                <c:pt idx="110">
                  <c:v>508877.28</c:v>
                </c:pt>
                <c:pt idx="111">
                  <c:v>510178.5900000002</c:v>
                </c:pt>
                <c:pt idx="112">
                  <c:v>589464.00000000012</c:v>
                </c:pt>
                <c:pt idx="113">
                  <c:v>619675.19000000041</c:v>
                </c:pt>
                <c:pt idx="114">
                  <c:v>574594.09</c:v>
                </c:pt>
                <c:pt idx="115">
                  <c:v>571973.43999999971</c:v>
                </c:pt>
                <c:pt idx="116">
                  <c:v>620737.20000000019</c:v>
                </c:pt>
                <c:pt idx="117">
                  <c:v>531028.12000000011</c:v>
                </c:pt>
                <c:pt idx="118">
                  <c:v>579831.73999999976</c:v>
                </c:pt>
                <c:pt idx="119">
                  <c:v>530541.74</c:v>
                </c:pt>
                <c:pt idx="120">
                  <c:v>512269.24</c:v>
                </c:pt>
                <c:pt idx="121">
                  <c:v>564143.71</c:v>
                </c:pt>
                <c:pt idx="122">
                  <c:v>546353.42999999993</c:v>
                </c:pt>
                <c:pt idx="123">
                  <c:v>512218.64999999991</c:v>
                </c:pt>
                <c:pt idx="124">
                  <c:v>605532.4299999997</c:v>
                </c:pt>
                <c:pt idx="125">
                  <c:v>622359.6100000001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7-4781-ABE5-FBB1A11DF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271320"/>
        <c:axId val="1"/>
      </c:lineChart>
      <c:dateAx>
        <c:axId val="598271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$* #,##0_);_(\$* \(#,##0\);_(\$* &quot;-&quot;_);_(@_)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271320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238418831713387"/>
          <c:y val="4.0127464248743271E-2"/>
          <c:w val="0.39523151393337302"/>
          <c:h val="8.146259295236285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373493975903615"/>
          <c:y val="3.341902313624678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"/>
          <c:y val="0.16195372750642673"/>
          <c:w val="0.70481927710843373"/>
          <c:h val="0.66323907455012854"/>
        </c:manualLayout>
      </c:layout>
      <c:lineChart>
        <c:grouping val="standard"/>
        <c:varyColors val="0"/>
        <c:ser>
          <c:idx val="0"/>
          <c:order val="0"/>
          <c:tx>
            <c:strRef>
              <c:f>'Other Graphs'!$A$2</c:f>
              <c:strCache>
                <c:ptCount val="1"/>
                <c:pt idx="0">
                  <c:v>Private Agreements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'Other Graphs'!$B$1:$AG$1</c:f>
              <c:numCache>
                <c:formatCode>mmm\-yy</c:formatCode>
                <c:ptCount val="32"/>
                <c:pt idx="0">
                  <c:v>39264</c:v>
                </c:pt>
                <c:pt idx="1">
                  <c:v>39295</c:v>
                </c:pt>
                <c:pt idx="2">
                  <c:v>39326</c:v>
                </c:pt>
                <c:pt idx="3">
                  <c:v>39356</c:v>
                </c:pt>
                <c:pt idx="4">
                  <c:v>39387</c:v>
                </c:pt>
                <c:pt idx="5">
                  <c:v>39417</c:v>
                </c:pt>
                <c:pt idx="6">
                  <c:v>39448</c:v>
                </c:pt>
                <c:pt idx="7">
                  <c:v>39479</c:v>
                </c:pt>
                <c:pt idx="8">
                  <c:v>39508</c:v>
                </c:pt>
                <c:pt idx="9">
                  <c:v>39539</c:v>
                </c:pt>
                <c:pt idx="10">
                  <c:v>39569</c:v>
                </c:pt>
                <c:pt idx="11">
                  <c:v>39600</c:v>
                </c:pt>
                <c:pt idx="12">
                  <c:v>39630</c:v>
                </c:pt>
                <c:pt idx="13">
                  <c:v>39661</c:v>
                </c:pt>
                <c:pt idx="14">
                  <c:v>39692</c:v>
                </c:pt>
                <c:pt idx="15">
                  <c:v>39722</c:v>
                </c:pt>
                <c:pt idx="16">
                  <c:v>39753</c:v>
                </c:pt>
                <c:pt idx="17">
                  <c:v>39783</c:v>
                </c:pt>
                <c:pt idx="18">
                  <c:v>39814</c:v>
                </c:pt>
                <c:pt idx="19">
                  <c:v>39845</c:v>
                </c:pt>
                <c:pt idx="20">
                  <c:v>39873</c:v>
                </c:pt>
                <c:pt idx="21">
                  <c:v>39904</c:v>
                </c:pt>
                <c:pt idx="22">
                  <c:v>39934</c:v>
                </c:pt>
                <c:pt idx="23">
                  <c:v>39965</c:v>
                </c:pt>
                <c:pt idx="24">
                  <c:v>39995</c:v>
                </c:pt>
                <c:pt idx="25">
                  <c:v>40026</c:v>
                </c:pt>
                <c:pt idx="26">
                  <c:v>40057</c:v>
                </c:pt>
                <c:pt idx="27">
                  <c:v>40087</c:v>
                </c:pt>
                <c:pt idx="28">
                  <c:v>40118</c:v>
                </c:pt>
                <c:pt idx="29">
                  <c:v>40148</c:v>
                </c:pt>
                <c:pt idx="30">
                  <c:v>40179</c:v>
                </c:pt>
                <c:pt idx="31">
                  <c:v>40210</c:v>
                </c:pt>
              </c:numCache>
            </c:numRef>
          </c:cat>
          <c:val>
            <c:numRef>
              <c:f>'Other Graphs'!$B$2:$AG$2</c:f>
              <c:numCache>
                <c:formatCode>"$"#,##0_);[Red]\("$"#,##0\)</c:formatCode>
                <c:ptCount val="32"/>
                <c:pt idx="0">
                  <c:v>53488</c:v>
                </c:pt>
                <c:pt idx="1">
                  <c:v>36280</c:v>
                </c:pt>
                <c:pt idx="2">
                  <c:v>43028</c:v>
                </c:pt>
                <c:pt idx="3">
                  <c:v>41609</c:v>
                </c:pt>
                <c:pt idx="4">
                  <c:v>32336</c:v>
                </c:pt>
                <c:pt idx="5">
                  <c:v>46711</c:v>
                </c:pt>
                <c:pt idx="6">
                  <c:v>46287</c:v>
                </c:pt>
                <c:pt idx="7">
                  <c:v>47788</c:v>
                </c:pt>
                <c:pt idx="8">
                  <c:v>40463</c:v>
                </c:pt>
                <c:pt idx="9">
                  <c:v>43694</c:v>
                </c:pt>
                <c:pt idx="10">
                  <c:v>39567</c:v>
                </c:pt>
                <c:pt idx="11">
                  <c:v>38649</c:v>
                </c:pt>
                <c:pt idx="12">
                  <c:v>42488</c:v>
                </c:pt>
                <c:pt idx="13">
                  <c:v>42970</c:v>
                </c:pt>
                <c:pt idx="14">
                  <c:v>44764</c:v>
                </c:pt>
                <c:pt idx="15">
                  <c:v>37689</c:v>
                </c:pt>
                <c:pt idx="16">
                  <c:v>43328</c:v>
                </c:pt>
                <c:pt idx="17">
                  <c:v>36955</c:v>
                </c:pt>
                <c:pt idx="18">
                  <c:v>42681</c:v>
                </c:pt>
                <c:pt idx="19">
                  <c:v>20658</c:v>
                </c:pt>
                <c:pt idx="20">
                  <c:v>26693</c:v>
                </c:pt>
                <c:pt idx="21">
                  <c:v>37932</c:v>
                </c:pt>
                <c:pt idx="22">
                  <c:v>90987</c:v>
                </c:pt>
                <c:pt idx="23">
                  <c:v>66011</c:v>
                </c:pt>
                <c:pt idx="24">
                  <c:v>26371</c:v>
                </c:pt>
                <c:pt idx="25">
                  <c:v>33651</c:v>
                </c:pt>
                <c:pt idx="26">
                  <c:v>64378</c:v>
                </c:pt>
                <c:pt idx="27">
                  <c:v>58084</c:v>
                </c:pt>
                <c:pt idx="28">
                  <c:v>81126</c:v>
                </c:pt>
                <c:pt idx="29">
                  <c:v>74517</c:v>
                </c:pt>
                <c:pt idx="30">
                  <c:v>70375</c:v>
                </c:pt>
                <c:pt idx="31">
                  <c:v>76222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C-42DA-BF6B-0C85E40DE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247992"/>
        <c:axId val="1"/>
      </c:lineChart>
      <c:dateAx>
        <c:axId val="590247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247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07228915662655"/>
          <c:y val="0.46786632390745503"/>
          <c:w val="0.17228915662650601"/>
          <c:h val="5.39845758354756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674077224563307E-2"/>
          <c:y val="6.1176470588235297E-2"/>
          <c:w val="0.79318829026513349"/>
          <c:h val="0.77411764705882358"/>
        </c:manualLayout>
      </c:layout>
      <c:lineChart>
        <c:grouping val="standard"/>
        <c:varyColors val="0"/>
        <c:ser>
          <c:idx val="0"/>
          <c:order val="0"/>
          <c:tx>
            <c:strRef>
              <c:f>'Other Graphs'!$A$33</c:f>
              <c:strCache>
                <c:ptCount val="1"/>
                <c:pt idx="0">
                  <c:v>URGS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'Other Graphs'!$B$32:$AG$32</c:f>
              <c:numCache>
                <c:formatCode>mmm\-yy</c:formatCode>
                <c:ptCount val="32"/>
                <c:pt idx="0">
                  <c:v>39264</c:v>
                </c:pt>
                <c:pt idx="1">
                  <c:v>39295</c:v>
                </c:pt>
                <c:pt idx="2">
                  <c:v>39326</c:v>
                </c:pt>
                <c:pt idx="3">
                  <c:v>39356</c:v>
                </c:pt>
                <c:pt idx="4">
                  <c:v>39387</c:v>
                </c:pt>
                <c:pt idx="5">
                  <c:v>39417</c:v>
                </c:pt>
                <c:pt idx="6">
                  <c:v>39448</c:v>
                </c:pt>
                <c:pt idx="7">
                  <c:v>39479</c:v>
                </c:pt>
                <c:pt idx="8">
                  <c:v>39508</c:v>
                </c:pt>
                <c:pt idx="9">
                  <c:v>39539</c:v>
                </c:pt>
                <c:pt idx="10">
                  <c:v>39569</c:v>
                </c:pt>
                <c:pt idx="11">
                  <c:v>39600</c:v>
                </c:pt>
                <c:pt idx="12">
                  <c:v>39630</c:v>
                </c:pt>
                <c:pt idx="13">
                  <c:v>39661</c:v>
                </c:pt>
                <c:pt idx="14">
                  <c:v>39692</c:v>
                </c:pt>
                <c:pt idx="15">
                  <c:v>39722</c:v>
                </c:pt>
                <c:pt idx="16">
                  <c:v>39753</c:v>
                </c:pt>
                <c:pt idx="17">
                  <c:v>39783</c:v>
                </c:pt>
                <c:pt idx="18">
                  <c:v>39814</c:v>
                </c:pt>
                <c:pt idx="19">
                  <c:v>39845</c:v>
                </c:pt>
                <c:pt idx="20">
                  <c:v>39873</c:v>
                </c:pt>
                <c:pt idx="21">
                  <c:v>39904</c:v>
                </c:pt>
                <c:pt idx="22">
                  <c:v>39934</c:v>
                </c:pt>
                <c:pt idx="23">
                  <c:v>39965</c:v>
                </c:pt>
                <c:pt idx="24">
                  <c:v>39995</c:v>
                </c:pt>
                <c:pt idx="25">
                  <c:v>40026</c:v>
                </c:pt>
                <c:pt idx="26">
                  <c:v>40057</c:v>
                </c:pt>
                <c:pt idx="27">
                  <c:v>40087</c:v>
                </c:pt>
                <c:pt idx="28">
                  <c:v>40118</c:v>
                </c:pt>
                <c:pt idx="29">
                  <c:v>40148</c:v>
                </c:pt>
                <c:pt idx="30">
                  <c:v>40179</c:v>
                </c:pt>
                <c:pt idx="31">
                  <c:v>40210</c:v>
                </c:pt>
              </c:numCache>
            </c:numRef>
          </c:cat>
          <c:val>
            <c:numRef>
              <c:f>'Other Graphs'!$B$33:$AG$33</c:f>
              <c:numCache>
                <c:formatCode>"$"#,##0_);[Red]\("$"#,##0\)</c:formatCode>
                <c:ptCount val="32"/>
                <c:pt idx="0">
                  <c:v>602</c:v>
                </c:pt>
                <c:pt idx="1">
                  <c:v>781</c:v>
                </c:pt>
                <c:pt idx="2">
                  <c:v>1115</c:v>
                </c:pt>
                <c:pt idx="3">
                  <c:v>1587</c:v>
                </c:pt>
                <c:pt idx="4">
                  <c:v>307</c:v>
                </c:pt>
                <c:pt idx="5">
                  <c:v>2050</c:v>
                </c:pt>
                <c:pt idx="6">
                  <c:v>0</c:v>
                </c:pt>
                <c:pt idx="7">
                  <c:v>1334</c:v>
                </c:pt>
                <c:pt idx="8">
                  <c:v>784</c:v>
                </c:pt>
                <c:pt idx="9">
                  <c:v>1914</c:v>
                </c:pt>
                <c:pt idx="10">
                  <c:v>2603</c:v>
                </c:pt>
                <c:pt idx="11">
                  <c:v>383</c:v>
                </c:pt>
                <c:pt idx="12">
                  <c:v>874</c:v>
                </c:pt>
                <c:pt idx="13">
                  <c:v>386</c:v>
                </c:pt>
                <c:pt idx="14">
                  <c:v>707</c:v>
                </c:pt>
                <c:pt idx="15">
                  <c:v>0</c:v>
                </c:pt>
                <c:pt idx="16">
                  <c:v>1156</c:v>
                </c:pt>
                <c:pt idx="17">
                  <c:v>1362</c:v>
                </c:pt>
                <c:pt idx="18">
                  <c:v>1687</c:v>
                </c:pt>
                <c:pt idx="19">
                  <c:v>2946</c:v>
                </c:pt>
                <c:pt idx="20">
                  <c:v>1970</c:v>
                </c:pt>
                <c:pt idx="21">
                  <c:v>5151</c:v>
                </c:pt>
                <c:pt idx="22">
                  <c:v>4054</c:v>
                </c:pt>
                <c:pt idx="23">
                  <c:v>1797</c:v>
                </c:pt>
                <c:pt idx="24">
                  <c:v>6672</c:v>
                </c:pt>
                <c:pt idx="25">
                  <c:v>4457</c:v>
                </c:pt>
                <c:pt idx="26">
                  <c:v>5988</c:v>
                </c:pt>
                <c:pt idx="27">
                  <c:v>5290</c:v>
                </c:pt>
                <c:pt idx="28">
                  <c:v>3374</c:v>
                </c:pt>
                <c:pt idx="29">
                  <c:v>6647</c:v>
                </c:pt>
                <c:pt idx="30">
                  <c:v>3841</c:v>
                </c:pt>
                <c:pt idx="31">
                  <c:v>2249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4-4E11-A5D8-E6302E76ED0A}"/>
            </c:ext>
          </c:extLst>
        </c:ser>
        <c:ser>
          <c:idx val="1"/>
          <c:order val="1"/>
          <c:tx>
            <c:strRef>
              <c:f>'Other Graphs'!$A$34</c:f>
              <c:strCache>
                <c:ptCount val="1"/>
                <c:pt idx="0">
                  <c:v>UWLR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'Other Graphs'!$B$32:$AG$32</c:f>
              <c:numCache>
                <c:formatCode>mmm\-yy</c:formatCode>
                <c:ptCount val="32"/>
                <c:pt idx="0">
                  <c:v>39264</c:v>
                </c:pt>
                <c:pt idx="1">
                  <c:v>39295</c:v>
                </c:pt>
                <c:pt idx="2">
                  <c:v>39326</c:v>
                </c:pt>
                <c:pt idx="3">
                  <c:v>39356</c:v>
                </c:pt>
                <c:pt idx="4">
                  <c:v>39387</c:v>
                </c:pt>
                <c:pt idx="5">
                  <c:v>39417</c:v>
                </c:pt>
                <c:pt idx="6">
                  <c:v>39448</c:v>
                </c:pt>
                <c:pt idx="7">
                  <c:v>39479</c:v>
                </c:pt>
                <c:pt idx="8">
                  <c:v>39508</c:v>
                </c:pt>
                <c:pt idx="9">
                  <c:v>39539</c:v>
                </c:pt>
                <c:pt idx="10">
                  <c:v>39569</c:v>
                </c:pt>
                <c:pt idx="11">
                  <c:v>39600</c:v>
                </c:pt>
                <c:pt idx="12">
                  <c:v>39630</c:v>
                </c:pt>
                <c:pt idx="13">
                  <c:v>39661</c:v>
                </c:pt>
                <c:pt idx="14">
                  <c:v>39692</c:v>
                </c:pt>
                <c:pt idx="15">
                  <c:v>39722</c:v>
                </c:pt>
                <c:pt idx="16">
                  <c:v>39753</c:v>
                </c:pt>
                <c:pt idx="17">
                  <c:v>39783</c:v>
                </c:pt>
                <c:pt idx="18">
                  <c:v>39814</c:v>
                </c:pt>
                <c:pt idx="19">
                  <c:v>39845</c:v>
                </c:pt>
                <c:pt idx="20">
                  <c:v>39873</c:v>
                </c:pt>
                <c:pt idx="21">
                  <c:v>39904</c:v>
                </c:pt>
                <c:pt idx="22">
                  <c:v>39934</c:v>
                </c:pt>
                <c:pt idx="23">
                  <c:v>39965</c:v>
                </c:pt>
                <c:pt idx="24">
                  <c:v>39995</c:v>
                </c:pt>
                <c:pt idx="25">
                  <c:v>40026</c:v>
                </c:pt>
                <c:pt idx="26">
                  <c:v>40057</c:v>
                </c:pt>
                <c:pt idx="27">
                  <c:v>40087</c:v>
                </c:pt>
                <c:pt idx="28">
                  <c:v>40118</c:v>
                </c:pt>
                <c:pt idx="29">
                  <c:v>40148</c:v>
                </c:pt>
                <c:pt idx="30">
                  <c:v>40179</c:v>
                </c:pt>
                <c:pt idx="31">
                  <c:v>40210</c:v>
                </c:pt>
              </c:numCache>
            </c:numRef>
          </c:cat>
          <c:val>
            <c:numRef>
              <c:f>'Other Graphs'!$B$34:$AG$34</c:f>
              <c:numCache>
                <c:formatCode>"$"#,##0_);[Red]\("$"#,##0\)</c:formatCode>
                <c:ptCount val="32"/>
                <c:pt idx="0">
                  <c:v>1437</c:v>
                </c:pt>
                <c:pt idx="1">
                  <c:v>117</c:v>
                </c:pt>
                <c:pt idx="2">
                  <c:v>214</c:v>
                </c:pt>
                <c:pt idx="3">
                  <c:v>516</c:v>
                </c:pt>
                <c:pt idx="4">
                  <c:v>159</c:v>
                </c:pt>
                <c:pt idx="5">
                  <c:v>170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1401</c:v>
                </c:pt>
                <c:pt idx="10">
                  <c:v>1720</c:v>
                </c:pt>
                <c:pt idx="11">
                  <c:v>2924</c:v>
                </c:pt>
                <c:pt idx="12">
                  <c:v>877</c:v>
                </c:pt>
                <c:pt idx="13">
                  <c:v>1610</c:v>
                </c:pt>
                <c:pt idx="14">
                  <c:v>398</c:v>
                </c:pt>
                <c:pt idx="15">
                  <c:v>2969</c:v>
                </c:pt>
                <c:pt idx="16">
                  <c:v>1215</c:v>
                </c:pt>
                <c:pt idx="17">
                  <c:v>2827</c:v>
                </c:pt>
                <c:pt idx="18">
                  <c:v>2214</c:v>
                </c:pt>
                <c:pt idx="19">
                  <c:v>5910</c:v>
                </c:pt>
                <c:pt idx="20">
                  <c:v>2322</c:v>
                </c:pt>
                <c:pt idx="21">
                  <c:v>4704</c:v>
                </c:pt>
                <c:pt idx="22">
                  <c:v>7804</c:v>
                </c:pt>
                <c:pt idx="23">
                  <c:v>3444</c:v>
                </c:pt>
                <c:pt idx="24">
                  <c:v>4362</c:v>
                </c:pt>
                <c:pt idx="25">
                  <c:v>2825</c:v>
                </c:pt>
                <c:pt idx="26">
                  <c:v>4009</c:v>
                </c:pt>
                <c:pt idx="27">
                  <c:v>6071</c:v>
                </c:pt>
                <c:pt idx="28">
                  <c:v>1838</c:v>
                </c:pt>
                <c:pt idx="29">
                  <c:v>5051</c:v>
                </c:pt>
                <c:pt idx="30">
                  <c:v>10123</c:v>
                </c:pt>
                <c:pt idx="31">
                  <c:v>2434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4-4E11-A5D8-E6302E76E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237168"/>
        <c:axId val="1"/>
      </c:lineChart>
      <c:dateAx>
        <c:axId val="590237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237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024433077252197"/>
          <c:y val="0.39764705882352941"/>
          <c:w val="9.0024458621504433E-2"/>
          <c:h val="0.101176470588235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B03-416F-AB45-EDF6AB0D64BB}"/>
            </c:ext>
          </c:extLst>
        </c:ser>
        <c:ser>
          <c:idx val="1"/>
          <c:order val="1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3B03-416F-AB45-EDF6AB0D64BB}"/>
            </c:ext>
          </c:extLst>
        </c:ser>
        <c:ser>
          <c:idx val="2"/>
          <c:order val="2"/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3B03-416F-AB45-EDF6AB0D6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237824"/>
        <c:axId val="1"/>
      </c:lineChart>
      <c:catAx>
        <c:axId val="59023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02378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836544</xdr:colOff>
      <xdr:row>8</xdr:row>
      <xdr:rowOff>149087</xdr:rowOff>
    </xdr:from>
    <xdr:to>
      <xdr:col>138</xdr:col>
      <xdr:colOff>28400</xdr:colOff>
      <xdr:row>37</xdr:row>
      <xdr:rowOff>173933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B47779-164A-4AF5-A35E-927929BF7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236</xdr:col>
      <xdr:colOff>104775</xdr:colOff>
      <xdr:row>17</xdr:row>
      <xdr:rowOff>95250</xdr:rowOff>
    </xdr:from>
    <xdr:to>
      <xdr:col>243</xdr:col>
      <xdr:colOff>180975</xdr:colOff>
      <xdr:row>32</xdr:row>
      <xdr:rowOff>133350</xdr:rowOff>
    </xdr:to>
    <xdr:graphicFrame macro="">
      <xdr:nvGraphicFramePr>
        <xdr:cNvPr id="4243463" name="Chart 1">
          <a:extLst>
            <a:ext uri="{FF2B5EF4-FFF2-40B4-BE49-F238E27FC236}">
              <a16:creationId xmlns:a16="http://schemas.microsoft.com/office/drawing/2014/main" id="{00000000-0008-0000-0200-000007C0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216</xdr:col>
      <xdr:colOff>389659</xdr:colOff>
      <xdr:row>13</xdr:row>
      <xdr:rowOff>112568</xdr:rowOff>
    </xdr:from>
    <xdr:to>
      <xdr:col>228</xdr:col>
      <xdr:colOff>786246</xdr:colOff>
      <xdr:row>39</xdr:row>
      <xdr:rowOff>181839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7F889-993B-40AA-BD27-53DAB35F1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5</xdr:row>
      <xdr:rowOff>76200</xdr:rowOff>
    </xdr:from>
    <xdr:to>
      <xdr:col>13</xdr:col>
      <xdr:colOff>0</xdr:colOff>
      <xdr:row>28</xdr:row>
      <xdr:rowOff>57150</xdr:rowOff>
    </xdr:to>
    <xdr:graphicFrame macro="">
      <xdr:nvGraphicFramePr>
        <xdr:cNvPr id="2980469" name="Chart 1">
          <a:extLst>
            <a:ext uri="{FF2B5EF4-FFF2-40B4-BE49-F238E27FC236}">
              <a16:creationId xmlns:a16="http://schemas.microsoft.com/office/drawing/2014/main" id="{00000000-0008-0000-8F00-0000757A2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34</xdr:row>
      <xdr:rowOff>95250</xdr:rowOff>
    </xdr:from>
    <xdr:to>
      <xdr:col>13</xdr:col>
      <xdr:colOff>0</xdr:colOff>
      <xdr:row>59</xdr:row>
      <xdr:rowOff>95250</xdr:rowOff>
    </xdr:to>
    <xdr:graphicFrame macro="">
      <xdr:nvGraphicFramePr>
        <xdr:cNvPr id="2980470" name="Chart 2">
          <a:extLst>
            <a:ext uri="{FF2B5EF4-FFF2-40B4-BE49-F238E27FC236}">
              <a16:creationId xmlns:a16="http://schemas.microsoft.com/office/drawing/2014/main" id="{00000000-0008-0000-8F00-0000767A2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11</xdr:row>
      <xdr:rowOff>161925</xdr:rowOff>
    </xdr:from>
    <xdr:to>
      <xdr:col>17</xdr:col>
      <xdr:colOff>647700</xdr:colOff>
      <xdr:row>27</xdr:row>
      <xdr:rowOff>142875</xdr:rowOff>
    </xdr:to>
    <xdr:graphicFrame macro="">
      <xdr:nvGraphicFramePr>
        <xdr:cNvPr id="488159" name="Chart 1">
          <a:extLst>
            <a:ext uri="{FF2B5EF4-FFF2-40B4-BE49-F238E27FC236}">
              <a16:creationId xmlns:a16="http://schemas.microsoft.com/office/drawing/2014/main" id="{00000000-0008-0000-9000-0000DF72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6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7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9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0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31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32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33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34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35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36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137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13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139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40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41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142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143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144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145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146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147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14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149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150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151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152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153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154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9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32"/>
  <sheetViews>
    <sheetView topLeftCell="A1302" zoomScale="115" zoomScaleNormal="115" workbookViewId="0">
      <selection activeCell="A1324" sqref="A1324"/>
    </sheetView>
  </sheetViews>
  <sheetFormatPr defaultColWidth="9.140625" defaultRowHeight="15" x14ac:dyDescent="0.2"/>
  <cols>
    <col min="1" max="1" width="12.7109375" style="420" bestFit="1" customWidth="1"/>
    <col min="2" max="2" width="17.28515625" style="420" bestFit="1" customWidth="1"/>
    <col min="3" max="3" width="18.85546875" style="420" bestFit="1" customWidth="1"/>
    <col min="4" max="4" width="14.140625" style="420" bestFit="1" customWidth="1"/>
    <col min="5" max="5" width="12.7109375" style="420" customWidth="1"/>
    <col min="6" max="6" width="14.140625" style="420" customWidth="1"/>
    <col min="7" max="7" width="14.140625" style="420" bestFit="1" customWidth="1"/>
    <col min="8" max="8" width="9.7109375" style="420" bestFit="1" customWidth="1"/>
    <col min="9" max="9" width="13.5703125" style="420" bestFit="1" customWidth="1"/>
    <col min="10" max="11" width="9.140625" style="420"/>
    <col min="12" max="12" width="18.42578125" style="420" bestFit="1" customWidth="1"/>
    <col min="13" max="92" width="12.7109375" style="420" bestFit="1" customWidth="1"/>
    <col min="93" max="94" width="13" style="420" bestFit="1" customWidth="1"/>
    <col min="95" max="95" width="13.7109375" style="420" customWidth="1"/>
    <col min="96" max="109" width="12.7109375" style="420" bestFit="1" customWidth="1"/>
    <col min="110" max="16384" width="9.140625" style="420"/>
  </cols>
  <sheetData>
    <row r="1" spans="1:9" ht="15.75" x14ac:dyDescent="0.25">
      <c r="A1" s="426">
        <v>41820</v>
      </c>
      <c r="B1" s="424" t="s">
        <v>343</v>
      </c>
      <c r="C1" s="424" t="s">
        <v>33</v>
      </c>
      <c r="D1" s="424" t="s">
        <v>34</v>
      </c>
      <c r="E1" s="424" t="s">
        <v>35</v>
      </c>
      <c r="F1" s="424" t="s">
        <v>103</v>
      </c>
      <c r="G1" s="424" t="s">
        <v>9</v>
      </c>
    </row>
    <row r="2" spans="1:9" x14ac:dyDescent="0.2">
      <c r="A2" s="420" t="s">
        <v>366</v>
      </c>
      <c r="B2" s="420" t="s">
        <v>21</v>
      </c>
      <c r="C2" s="420" t="s">
        <v>38</v>
      </c>
      <c r="D2" s="421">
        <v>3033.57</v>
      </c>
      <c r="E2" s="421">
        <v>233.37</v>
      </c>
      <c r="F2" s="421">
        <v>51.94</v>
      </c>
      <c r="G2" s="423">
        <f t="shared" ref="G2:G8" si="0">SUM(D2:F2)</f>
        <v>3318.88</v>
      </c>
    </row>
    <row r="3" spans="1:9" x14ac:dyDescent="0.2">
      <c r="A3" s="420" t="s">
        <v>366</v>
      </c>
      <c r="B3" s="420" t="s">
        <v>351</v>
      </c>
      <c r="C3" s="420" t="s">
        <v>38</v>
      </c>
      <c r="D3" s="421">
        <v>0</v>
      </c>
      <c r="E3" s="421">
        <v>0</v>
      </c>
      <c r="F3" s="421">
        <v>0</v>
      </c>
      <c r="G3" s="423">
        <f t="shared" si="0"/>
        <v>0</v>
      </c>
    </row>
    <row r="4" spans="1:9" x14ac:dyDescent="0.2">
      <c r="A4" s="420" t="s">
        <v>366</v>
      </c>
      <c r="B4" s="420" t="s">
        <v>345</v>
      </c>
      <c r="C4" s="420" t="s">
        <v>38</v>
      </c>
      <c r="D4" s="421">
        <v>20794.89</v>
      </c>
      <c r="E4" s="421">
        <v>20367.740000000002</v>
      </c>
      <c r="F4" s="421">
        <v>151434.57</v>
      </c>
      <c r="G4" s="423">
        <f t="shared" si="0"/>
        <v>192597.2</v>
      </c>
    </row>
    <row r="5" spans="1:9" x14ac:dyDescent="0.2">
      <c r="A5" s="420" t="s">
        <v>366</v>
      </c>
      <c r="B5" s="420" t="s">
        <v>348</v>
      </c>
      <c r="C5" s="420" t="s">
        <v>38</v>
      </c>
      <c r="D5" s="421">
        <v>99341.9</v>
      </c>
      <c r="E5" s="421">
        <v>82461.66</v>
      </c>
      <c r="F5" s="421">
        <v>465760.79</v>
      </c>
      <c r="G5" s="423">
        <f t="shared" si="0"/>
        <v>647564.35</v>
      </c>
    </row>
    <row r="6" spans="1:9" x14ac:dyDescent="0.2">
      <c r="A6" s="420" t="s">
        <v>366</v>
      </c>
      <c r="B6" s="420" t="s">
        <v>348</v>
      </c>
      <c r="C6" s="420" t="s">
        <v>39</v>
      </c>
      <c r="D6" s="421">
        <v>38619.81</v>
      </c>
      <c r="E6" s="421">
        <v>33173.879999999997</v>
      </c>
      <c r="F6" s="421">
        <v>119398.63</v>
      </c>
      <c r="G6" s="423">
        <f t="shared" si="0"/>
        <v>191192.32000000001</v>
      </c>
    </row>
    <row r="7" spans="1:9" x14ac:dyDescent="0.2">
      <c r="A7" s="420" t="s">
        <v>366</v>
      </c>
      <c r="B7" s="420" t="s">
        <v>350</v>
      </c>
      <c r="C7" s="420" t="s">
        <v>38</v>
      </c>
      <c r="D7" s="421">
        <v>10622.02</v>
      </c>
      <c r="E7" s="421">
        <v>67718.990000000005</v>
      </c>
      <c r="F7" s="421">
        <v>103128.85</v>
      </c>
      <c r="G7" s="423">
        <f t="shared" si="0"/>
        <v>181469.86000000002</v>
      </c>
    </row>
    <row r="8" spans="1:9" x14ac:dyDescent="0.2">
      <c r="A8" s="420" t="s">
        <v>366</v>
      </c>
      <c r="B8" s="420" t="s">
        <v>350</v>
      </c>
      <c r="C8" s="420" t="s">
        <v>39</v>
      </c>
      <c r="D8" s="421">
        <v>0</v>
      </c>
      <c r="E8" s="421">
        <v>0</v>
      </c>
      <c r="F8" s="421">
        <v>0</v>
      </c>
      <c r="G8" s="423">
        <f t="shared" si="0"/>
        <v>0</v>
      </c>
    </row>
    <row r="9" spans="1:9" x14ac:dyDescent="0.2">
      <c r="D9" s="421"/>
      <c r="E9" s="421"/>
      <c r="F9" s="421"/>
      <c r="G9" s="423">
        <f>SUM(G2:G8)</f>
        <v>1216142.6100000001</v>
      </c>
    </row>
    <row r="10" spans="1:9" x14ac:dyDescent="0.2">
      <c r="G10" s="423"/>
    </row>
    <row r="11" spans="1:9" ht="15.75" x14ac:dyDescent="0.25">
      <c r="A11" s="426">
        <v>41851</v>
      </c>
      <c r="B11" s="424" t="s">
        <v>343</v>
      </c>
      <c r="C11" s="424" t="s">
        <v>33</v>
      </c>
      <c r="D11" s="424" t="s">
        <v>34</v>
      </c>
      <c r="E11" s="424" t="s">
        <v>35</v>
      </c>
      <c r="F11" s="424" t="s">
        <v>103</v>
      </c>
      <c r="G11" s="425" t="s">
        <v>9</v>
      </c>
    </row>
    <row r="12" spans="1:9" x14ac:dyDescent="0.2">
      <c r="A12" s="420" t="s">
        <v>375</v>
      </c>
      <c r="B12" s="420" t="s">
        <v>21</v>
      </c>
      <c r="C12" s="420" t="s">
        <v>38</v>
      </c>
      <c r="D12" s="421">
        <v>504.21</v>
      </c>
      <c r="E12" s="421">
        <v>485.55</v>
      </c>
      <c r="F12" s="421">
        <v>234.83</v>
      </c>
      <c r="G12" s="423">
        <f t="shared" ref="G12:G18" si="1">SUM(D12:F12)</f>
        <v>1224.5899999999999</v>
      </c>
      <c r="H12" s="422">
        <f t="shared" ref="H12:H19" si="2">IF(G2&gt;0,(G12-G2)/G2,0)</f>
        <v>-0.63102311623198182</v>
      </c>
      <c r="I12" s="423">
        <f t="shared" ref="I12:I19" si="3">G12-G2</f>
        <v>-2094.29</v>
      </c>
    </row>
    <row r="13" spans="1:9" x14ac:dyDescent="0.2">
      <c r="A13" s="420" t="s">
        <v>375</v>
      </c>
      <c r="B13" s="420" t="s">
        <v>351</v>
      </c>
      <c r="C13" s="420" t="s">
        <v>38</v>
      </c>
      <c r="D13" s="421">
        <v>0</v>
      </c>
      <c r="E13" s="421">
        <v>0</v>
      </c>
      <c r="F13" s="421">
        <v>0</v>
      </c>
      <c r="G13" s="423">
        <f t="shared" si="1"/>
        <v>0</v>
      </c>
      <c r="H13" s="422">
        <f t="shared" si="2"/>
        <v>0</v>
      </c>
      <c r="I13" s="423">
        <f t="shared" si="3"/>
        <v>0</v>
      </c>
    </row>
    <row r="14" spans="1:9" x14ac:dyDescent="0.2">
      <c r="A14" s="420" t="s">
        <v>375</v>
      </c>
      <c r="B14" s="420" t="s">
        <v>345</v>
      </c>
      <c r="C14" s="420" t="s">
        <v>38</v>
      </c>
      <c r="D14" s="421">
        <v>6140.43</v>
      </c>
      <c r="E14" s="421">
        <v>11419.99</v>
      </c>
      <c r="F14" s="421">
        <v>114846.89</v>
      </c>
      <c r="G14" s="423">
        <f t="shared" si="1"/>
        <v>132407.31</v>
      </c>
      <c r="H14" s="422">
        <f t="shared" si="2"/>
        <v>-0.31251695247905997</v>
      </c>
      <c r="I14" s="423">
        <f t="shared" si="3"/>
        <v>-60189.890000000014</v>
      </c>
    </row>
    <row r="15" spans="1:9" x14ac:dyDescent="0.2">
      <c r="A15" s="420" t="s">
        <v>375</v>
      </c>
      <c r="B15" s="420" t="s">
        <v>348</v>
      </c>
      <c r="C15" s="420" t="s">
        <v>38</v>
      </c>
      <c r="D15" s="421">
        <v>42649.68</v>
      </c>
      <c r="E15" s="421">
        <v>76633.98</v>
      </c>
      <c r="F15" s="421">
        <v>456518.38</v>
      </c>
      <c r="G15" s="423">
        <f t="shared" si="1"/>
        <v>575802.04</v>
      </c>
      <c r="H15" s="422">
        <f t="shared" si="2"/>
        <v>-0.11081880897242095</v>
      </c>
      <c r="I15" s="423">
        <f t="shared" si="3"/>
        <v>-71762.309999999939</v>
      </c>
    </row>
    <row r="16" spans="1:9" x14ac:dyDescent="0.2">
      <c r="A16" s="420" t="s">
        <v>375</v>
      </c>
      <c r="B16" s="420" t="s">
        <v>348</v>
      </c>
      <c r="C16" s="420" t="s">
        <v>39</v>
      </c>
      <c r="D16" s="421">
        <v>15857.68</v>
      </c>
      <c r="E16" s="421">
        <v>29639.599999999999</v>
      </c>
      <c r="F16" s="421">
        <v>112655.3</v>
      </c>
      <c r="G16" s="423">
        <f t="shared" si="1"/>
        <v>158152.58000000002</v>
      </c>
      <c r="H16" s="422">
        <f t="shared" si="2"/>
        <v>-0.1728089287268442</v>
      </c>
      <c r="I16" s="423">
        <f t="shared" si="3"/>
        <v>-33039.739999999991</v>
      </c>
    </row>
    <row r="17" spans="1:9" x14ac:dyDescent="0.2">
      <c r="A17" s="420" t="s">
        <v>375</v>
      </c>
      <c r="B17" s="420" t="s">
        <v>350</v>
      </c>
      <c r="C17" s="420" t="s">
        <v>38</v>
      </c>
      <c r="D17" s="421">
        <v>2518.42</v>
      </c>
      <c r="E17" s="421">
        <v>8703.1</v>
      </c>
      <c r="F17" s="421">
        <v>143573.15</v>
      </c>
      <c r="G17" s="423">
        <f t="shared" si="1"/>
        <v>154794.66999999998</v>
      </c>
      <c r="H17" s="422">
        <f t="shared" si="2"/>
        <v>-0.14699515390599865</v>
      </c>
      <c r="I17" s="423">
        <f t="shared" si="3"/>
        <v>-26675.190000000031</v>
      </c>
    </row>
    <row r="18" spans="1:9" x14ac:dyDescent="0.2">
      <c r="A18" s="420" t="s">
        <v>375</v>
      </c>
      <c r="B18" s="420" t="s">
        <v>350</v>
      </c>
      <c r="C18" s="420" t="s">
        <v>39</v>
      </c>
      <c r="D18" s="421">
        <v>0</v>
      </c>
      <c r="E18" s="421">
        <v>0</v>
      </c>
      <c r="F18" s="421">
        <v>0</v>
      </c>
      <c r="G18" s="423">
        <f t="shared" si="1"/>
        <v>0</v>
      </c>
      <c r="H18" s="422">
        <f t="shared" si="2"/>
        <v>0</v>
      </c>
      <c r="I18" s="423">
        <f t="shared" si="3"/>
        <v>0</v>
      </c>
    </row>
    <row r="19" spans="1:9" x14ac:dyDescent="0.2">
      <c r="G19" s="423">
        <f>SUM(G12:G18)</f>
        <v>1022381.19</v>
      </c>
      <c r="H19" s="422">
        <f t="shared" si="2"/>
        <v>-0.15932458776360128</v>
      </c>
      <c r="I19" s="423">
        <f t="shared" si="3"/>
        <v>-193761.42000000016</v>
      </c>
    </row>
    <row r="21" spans="1:9" ht="15.75" x14ac:dyDescent="0.25">
      <c r="A21" s="426">
        <v>41882</v>
      </c>
      <c r="B21" s="424" t="s">
        <v>343</v>
      </c>
      <c r="C21" s="424" t="s">
        <v>33</v>
      </c>
      <c r="D21" s="424" t="s">
        <v>34</v>
      </c>
      <c r="E21" s="424" t="s">
        <v>35</v>
      </c>
      <c r="F21" s="424" t="s">
        <v>103</v>
      </c>
      <c r="G21" s="425" t="s">
        <v>9</v>
      </c>
    </row>
    <row r="22" spans="1:9" x14ac:dyDescent="0.2">
      <c r="A22" s="420" t="s">
        <v>375</v>
      </c>
      <c r="B22" s="420" t="s">
        <v>21</v>
      </c>
      <c r="C22" s="420" t="s">
        <v>38</v>
      </c>
      <c r="D22" s="421">
        <v>16.55</v>
      </c>
      <c r="E22" s="421">
        <v>0</v>
      </c>
      <c r="F22" s="421">
        <v>191.21</v>
      </c>
      <c r="G22" s="423">
        <f t="shared" ref="G22:G28" si="4">SUM(D22:F22)</f>
        <v>207.76000000000002</v>
      </c>
      <c r="H22" s="422">
        <f t="shared" ref="H22:H29" si="5">IF(G12&gt;0,(G22-G12)/G12,0)</f>
        <v>-0.83034321691341595</v>
      </c>
      <c r="I22" s="423">
        <f>G22-G12</f>
        <v>-1016.8299999999999</v>
      </c>
    </row>
    <row r="23" spans="1:9" x14ac:dyDescent="0.2">
      <c r="A23" s="420" t="s">
        <v>375</v>
      </c>
      <c r="B23" s="420" t="s">
        <v>351</v>
      </c>
      <c r="C23" s="420" t="s">
        <v>38</v>
      </c>
      <c r="D23" s="421">
        <v>0</v>
      </c>
      <c r="E23" s="421">
        <v>0</v>
      </c>
      <c r="F23" s="421">
        <v>0</v>
      </c>
      <c r="G23" s="423">
        <f t="shared" si="4"/>
        <v>0</v>
      </c>
      <c r="H23" s="422">
        <f t="shared" si="5"/>
        <v>0</v>
      </c>
      <c r="I23" s="423">
        <f t="shared" ref="I23:I29" si="6">G23-G13</f>
        <v>0</v>
      </c>
    </row>
    <row r="24" spans="1:9" x14ac:dyDescent="0.2">
      <c r="A24" s="420" t="s">
        <v>375</v>
      </c>
      <c r="B24" s="420" t="s">
        <v>345</v>
      </c>
      <c r="C24" s="420" t="s">
        <v>38</v>
      </c>
      <c r="D24" s="421">
        <v>27249.32</v>
      </c>
      <c r="E24" s="421">
        <v>5420.03</v>
      </c>
      <c r="F24" s="421">
        <v>93451.92</v>
      </c>
      <c r="G24" s="423">
        <f t="shared" si="4"/>
        <v>126121.26999999999</v>
      </c>
      <c r="H24" s="422">
        <f t="shared" si="5"/>
        <v>-4.7475022338268245E-2</v>
      </c>
      <c r="I24" s="423">
        <f t="shared" si="6"/>
        <v>-6286.0400000000081</v>
      </c>
    </row>
    <row r="25" spans="1:9" x14ac:dyDescent="0.2">
      <c r="A25" s="420" t="s">
        <v>375</v>
      </c>
      <c r="B25" s="420" t="s">
        <v>348</v>
      </c>
      <c r="C25" s="420" t="s">
        <v>38</v>
      </c>
      <c r="D25" s="421">
        <v>89272.6</v>
      </c>
      <c r="E25" s="421">
        <v>33955.199999999997</v>
      </c>
      <c r="F25" s="421">
        <v>473153.69</v>
      </c>
      <c r="G25" s="423">
        <f t="shared" si="4"/>
        <v>596381.49</v>
      </c>
      <c r="H25" s="422">
        <f t="shared" si="5"/>
        <v>3.5740495118773724E-2</v>
      </c>
      <c r="I25" s="423">
        <f t="shared" si="6"/>
        <v>20579.449999999953</v>
      </c>
    </row>
    <row r="26" spans="1:9" x14ac:dyDescent="0.2">
      <c r="A26" s="420" t="s">
        <v>375</v>
      </c>
      <c r="B26" s="420" t="s">
        <v>348</v>
      </c>
      <c r="C26" s="420" t="s">
        <v>39</v>
      </c>
      <c r="D26" s="421">
        <v>27354.57</v>
      </c>
      <c r="E26" s="421">
        <v>11520.81</v>
      </c>
      <c r="F26" s="421">
        <v>108658.49</v>
      </c>
      <c r="G26" s="423">
        <f t="shared" si="4"/>
        <v>147533.87</v>
      </c>
      <c r="H26" s="422">
        <f t="shared" si="5"/>
        <v>-6.7142186362056308E-2</v>
      </c>
      <c r="I26" s="423">
        <f t="shared" si="6"/>
        <v>-10618.710000000021</v>
      </c>
    </row>
    <row r="27" spans="1:9" x14ac:dyDescent="0.2">
      <c r="A27" s="420" t="s">
        <v>375</v>
      </c>
      <c r="B27" s="420" t="s">
        <v>350</v>
      </c>
      <c r="C27" s="420" t="s">
        <v>38</v>
      </c>
      <c r="D27" s="421">
        <v>97086.06</v>
      </c>
      <c r="E27" s="421">
        <v>38.869999999999997</v>
      </c>
      <c r="F27" s="421">
        <v>124161.54</v>
      </c>
      <c r="G27" s="423">
        <f t="shared" si="4"/>
        <v>221286.46999999997</v>
      </c>
      <c r="H27" s="422">
        <f t="shared" si="5"/>
        <v>0.42954838173691634</v>
      </c>
      <c r="I27" s="423">
        <f t="shared" si="6"/>
        <v>66491.799999999988</v>
      </c>
    </row>
    <row r="28" spans="1:9" x14ac:dyDescent="0.2">
      <c r="A28" s="420" t="s">
        <v>375</v>
      </c>
      <c r="B28" s="420" t="s">
        <v>350</v>
      </c>
      <c r="C28" s="420" t="s">
        <v>39</v>
      </c>
      <c r="D28" s="421">
        <v>925.47</v>
      </c>
      <c r="E28" s="421">
        <v>0</v>
      </c>
      <c r="F28" s="421">
        <v>0</v>
      </c>
      <c r="G28" s="423">
        <f t="shared" si="4"/>
        <v>925.47</v>
      </c>
      <c r="H28" s="422">
        <f t="shared" si="5"/>
        <v>0</v>
      </c>
      <c r="I28" s="423">
        <f t="shared" si="6"/>
        <v>925.47</v>
      </c>
    </row>
    <row r="29" spans="1:9" x14ac:dyDescent="0.2">
      <c r="G29" s="423">
        <f>SUM(G22:G28)</f>
        <v>1092456.3299999998</v>
      </c>
      <c r="H29" s="422">
        <f t="shared" si="5"/>
        <v>6.8541108429430217E-2</v>
      </c>
      <c r="I29" s="423">
        <f t="shared" si="6"/>
        <v>70075.139999999898</v>
      </c>
    </row>
    <row r="31" spans="1:9" ht="15.75" x14ac:dyDescent="0.25">
      <c r="A31" s="426">
        <v>41912</v>
      </c>
      <c r="B31" s="424" t="s">
        <v>343</v>
      </c>
      <c r="C31" s="424" t="s">
        <v>33</v>
      </c>
      <c r="D31" s="424" t="s">
        <v>34</v>
      </c>
      <c r="E31" s="424" t="s">
        <v>35</v>
      </c>
      <c r="F31" s="424" t="s">
        <v>103</v>
      </c>
      <c r="G31" s="425" t="s">
        <v>9</v>
      </c>
    </row>
    <row r="32" spans="1:9" x14ac:dyDescent="0.2">
      <c r="A32" s="420" t="s">
        <v>375</v>
      </c>
      <c r="B32" s="420" t="s">
        <v>21</v>
      </c>
      <c r="C32" s="420" t="s">
        <v>38</v>
      </c>
      <c r="D32" s="421">
        <v>23439.17</v>
      </c>
      <c r="E32" s="421">
        <v>13.89</v>
      </c>
      <c r="F32" s="421">
        <v>0.95</v>
      </c>
      <c r="G32" s="423">
        <f t="shared" ref="G32:G38" si="7">SUM(D32:F32)</f>
        <v>23454.01</v>
      </c>
      <c r="H32" s="422">
        <f t="shared" ref="H32:H39" si="8">IF(G22&gt;0,(G32-G22)/G22,0)</f>
        <v>111.88992106276471</v>
      </c>
      <c r="I32" s="423">
        <f>G32-G22</f>
        <v>23246.25</v>
      </c>
    </row>
    <row r="33" spans="1:9" x14ac:dyDescent="0.2">
      <c r="A33" s="420" t="s">
        <v>375</v>
      </c>
      <c r="B33" s="420" t="s">
        <v>351</v>
      </c>
      <c r="C33" s="420" t="s">
        <v>38</v>
      </c>
      <c r="D33" s="421">
        <v>0</v>
      </c>
      <c r="E33" s="421">
        <v>0</v>
      </c>
      <c r="F33" s="421">
        <v>0</v>
      </c>
      <c r="G33" s="423">
        <f t="shared" si="7"/>
        <v>0</v>
      </c>
      <c r="H33" s="422">
        <f t="shared" si="8"/>
        <v>0</v>
      </c>
      <c r="I33" s="423">
        <f t="shared" ref="I33:I39" si="9">G33-G23</f>
        <v>0</v>
      </c>
    </row>
    <row r="34" spans="1:9" x14ac:dyDescent="0.2">
      <c r="A34" s="420" t="s">
        <v>375</v>
      </c>
      <c r="B34" s="420" t="s">
        <v>345</v>
      </c>
      <c r="C34" s="420" t="s">
        <v>38</v>
      </c>
      <c r="D34" s="421">
        <v>33983.360000000001</v>
      </c>
      <c r="E34" s="421">
        <v>16350.54</v>
      </c>
      <c r="F34" s="421">
        <v>88941.49</v>
      </c>
      <c r="G34" s="423">
        <f t="shared" si="7"/>
        <v>139275.39000000001</v>
      </c>
      <c r="H34" s="422">
        <f t="shared" si="8"/>
        <v>0.10429739567322804</v>
      </c>
      <c r="I34" s="423">
        <f t="shared" si="9"/>
        <v>13154.120000000024</v>
      </c>
    </row>
    <row r="35" spans="1:9" x14ac:dyDescent="0.2">
      <c r="A35" s="420" t="s">
        <v>375</v>
      </c>
      <c r="B35" s="420" t="s">
        <v>348</v>
      </c>
      <c r="C35" s="420" t="s">
        <v>38</v>
      </c>
      <c r="D35" s="421">
        <v>74788.17</v>
      </c>
      <c r="E35" s="421">
        <v>68860.06</v>
      </c>
      <c r="F35" s="421">
        <v>452848.31</v>
      </c>
      <c r="G35" s="423">
        <f t="shared" si="7"/>
        <v>596496.54</v>
      </c>
      <c r="H35" s="422">
        <f t="shared" si="8"/>
        <v>1.9291343197128162E-4</v>
      </c>
      <c r="I35" s="423">
        <f t="shared" si="9"/>
        <v>115.05000000004657</v>
      </c>
    </row>
    <row r="36" spans="1:9" x14ac:dyDescent="0.2">
      <c r="A36" s="420" t="s">
        <v>375</v>
      </c>
      <c r="B36" s="420" t="s">
        <v>348</v>
      </c>
      <c r="C36" s="420" t="s">
        <v>39</v>
      </c>
      <c r="D36" s="421">
        <v>20804.73</v>
      </c>
      <c r="E36" s="421">
        <v>23703.200000000001</v>
      </c>
      <c r="F36" s="421">
        <v>98037.89</v>
      </c>
      <c r="G36" s="423">
        <f t="shared" si="7"/>
        <v>142545.82</v>
      </c>
      <c r="H36" s="422">
        <f t="shared" si="8"/>
        <v>-3.3809524551887564E-2</v>
      </c>
      <c r="I36" s="423">
        <f t="shared" si="9"/>
        <v>-4988.0499999999884</v>
      </c>
    </row>
    <row r="37" spans="1:9" x14ac:dyDescent="0.2">
      <c r="A37" s="420" t="s">
        <v>375</v>
      </c>
      <c r="B37" s="420" t="s">
        <v>350</v>
      </c>
      <c r="C37" s="420" t="s">
        <v>38</v>
      </c>
      <c r="D37" s="421">
        <v>7477.47</v>
      </c>
      <c r="E37" s="421">
        <v>75863.429999999993</v>
      </c>
      <c r="F37" s="421">
        <v>99907.76</v>
      </c>
      <c r="G37" s="423">
        <f t="shared" si="7"/>
        <v>183248.65999999997</v>
      </c>
      <c r="H37" s="422">
        <f t="shared" si="8"/>
        <v>-0.17189397074299212</v>
      </c>
      <c r="I37" s="423">
        <f t="shared" si="9"/>
        <v>-38037.81</v>
      </c>
    </row>
    <row r="38" spans="1:9" x14ac:dyDescent="0.2">
      <c r="A38" s="420" t="s">
        <v>375</v>
      </c>
      <c r="B38" s="420" t="s">
        <v>350</v>
      </c>
      <c r="C38" s="420" t="s">
        <v>39</v>
      </c>
      <c r="D38" s="421">
        <v>0</v>
      </c>
      <c r="E38" s="421">
        <v>0</v>
      </c>
      <c r="F38" s="421">
        <v>0</v>
      </c>
      <c r="G38" s="423">
        <f t="shared" si="7"/>
        <v>0</v>
      </c>
      <c r="H38" s="422">
        <f t="shared" si="8"/>
        <v>-1</v>
      </c>
      <c r="I38" s="423">
        <f t="shared" si="9"/>
        <v>-925.47</v>
      </c>
    </row>
    <row r="39" spans="1:9" x14ac:dyDescent="0.2">
      <c r="G39" s="423">
        <f>SUM(G32:G38)</f>
        <v>1085020.42</v>
      </c>
      <c r="H39" s="422">
        <f t="shared" si="8"/>
        <v>-6.8065970197636345E-3</v>
      </c>
      <c r="I39" s="423">
        <f t="shared" si="9"/>
        <v>-7435.9099999999162</v>
      </c>
    </row>
    <row r="41" spans="1:9" ht="15.75" x14ac:dyDescent="0.25">
      <c r="A41" s="426">
        <v>41943</v>
      </c>
      <c r="B41" s="424" t="s">
        <v>343</v>
      </c>
      <c r="C41" s="424" t="s">
        <v>33</v>
      </c>
      <c r="D41" s="424" t="s">
        <v>34</v>
      </c>
      <c r="E41" s="424" t="s">
        <v>35</v>
      </c>
      <c r="F41" s="424" t="s">
        <v>103</v>
      </c>
      <c r="G41" s="425" t="s">
        <v>9</v>
      </c>
    </row>
    <row r="42" spans="1:9" x14ac:dyDescent="0.2">
      <c r="A42" s="420" t="s">
        <v>375</v>
      </c>
      <c r="B42" s="420" t="s">
        <v>21</v>
      </c>
      <c r="C42" s="420" t="s">
        <v>38</v>
      </c>
      <c r="D42" s="421">
        <v>625.94000000000005</v>
      </c>
      <c r="E42" s="421">
        <v>348.36</v>
      </c>
      <c r="F42" s="421">
        <v>7.06</v>
      </c>
      <c r="G42" s="423">
        <f t="shared" ref="G42:G48" si="10">SUM(D42:F42)</f>
        <v>981.36</v>
      </c>
      <c r="H42" s="422">
        <f t="shared" ref="H42:H49" si="11">IF(G32&gt;0,(G42-G32)/G32,0)</f>
        <v>-0.95815811453990163</v>
      </c>
      <c r="I42" s="423">
        <f>G42-G32</f>
        <v>-22472.649999999998</v>
      </c>
    </row>
    <row r="43" spans="1:9" x14ac:dyDescent="0.2">
      <c r="A43" s="420" t="s">
        <v>375</v>
      </c>
      <c r="B43" s="420" t="s">
        <v>351</v>
      </c>
      <c r="C43" s="420" t="s">
        <v>38</v>
      </c>
      <c r="D43" s="421">
        <v>0</v>
      </c>
      <c r="E43" s="421">
        <v>0</v>
      </c>
      <c r="F43" s="421">
        <v>0</v>
      </c>
      <c r="G43" s="423">
        <f t="shared" si="10"/>
        <v>0</v>
      </c>
      <c r="H43" s="422">
        <f t="shared" si="11"/>
        <v>0</v>
      </c>
      <c r="I43" s="423">
        <f t="shared" ref="I43:I49" si="12">G43-G33</f>
        <v>0</v>
      </c>
    </row>
    <row r="44" spans="1:9" x14ac:dyDescent="0.2">
      <c r="A44" s="420" t="s">
        <v>375</v>
      </c>
      <c r="B44" s="420" t="s">
        <v>345</v>
      </c>
      <c r="C44" s="420" t="s">
        <v>38</v>
      </c>
      <c r="D44" s="421">
        <v>2953.48</v>
      </c>
      <c r="E44" s="421">
        <v>29095.08</v>
      </c>
      <c r="F44" s="421">
        <v>96170.72</v>
      </c>
      <c r="G44" s="423">
        <f t="shared" si="10"/>
        <v>128219.28</v>
      </c>
      <c r="H44" s="422">
        <f t="shared" si="11"/>
        <v>-7.9383084118450603E-2</v>
      </c>
      <c r="I44" s="423">
        <f t="shared" si="12"/>
        <v>-11056.110000000015</v>
      </c>
    </row>
    <row r="45" spans="1:9" x14ac:dyDescent="0.2">
      <c r="A45" s="420" t="s">
        <v>375</v>
      </c>
      <c r="B45" s="420" t="s">
        <v>348</v>
      </c>
      <c r="C45" s="420" t="s">
        <v>38</v>
      </c>
      <c r="D45" s="421">
        <v>34415.14</v>
      </c>
      <c r="E45" s="421">
        <v>62750.77</v>
      </c>
      <c r="F45" s="421">
        <v>465176.53</v>
      </c>
      <c r="G45" s="423">
        <f t="shared" si="10"/>
        <v>562342.44000000006</v>
      </c>
      <c r="H45" s="422">
        <f t="shared" si="11"/>
        <v>-5.7257834219792747E-2</v>
      </c>
      <c r="I45" s="423">
        <f t="shared" si="12"/>
        <v>-34154.099999999977</v>
      </c>
    </row>
    <row r="46" spans="1:9" x14ac:dyDescent="0.2">
      <c r="A46" s="420" t="s">
        <v>375</v>
      </c>
      <c r="B46" s="420" t="s">
        <v>348</v>
      </c>
      <c r="C46" s="420" t="s">
        <v>39</v>
      </c>
      <c r="D46" s="421">
        <v>7900.27</v>
      </c>
      <c r="E46" s="421">
        <v>17467.310000000001</v>
      </c>
      <c r="F46" s="421">
        <v>102036</v>
      </c>
      <c r="G46" s="423">
        <f t="shared" si="10"/>
        <v>127403.58</v>
      </c>
      <c r="H46" s="422">
        <f t="shared" si="11"/>
        <v>-0.10622717663695788</v>
      </c>
      <c r="I46" s="423">
        <f t="shared" si="12"/>
        <v>-15142.240000000005</v>
      </c>
    </row>
    <row r="47" spans="1:9" x14ac:dyDescent="0.2">
      <c r="A47" s="420" t="s">
        <v>375</v>
      </c>
      <c r="B47" s="420" t="s">
        <v>350</v>
      </c>
      <c r="C47" s="420" t="s">
        <v>38</v>
      </c>
      <c r="D47" s="421">
        <v>3196.9</v>
      </c>
      <c r="E47" s="421">
        <v>6570.75</v>
      </c>
      <c r="F47" s="421">
        <v>143018.25</v>
      </c>
      <c r="G47" s="423">
        <f t="shared" si="10"/>
        <v>152785.9</v>
      </c>
      <c r="H47" s="422">
        <f t="shared" si="11"/>
        <v>-0.16623728653732028</v>
      </c>
      <c r="I47" s="423">
        <f t="shared" si="12"/>
        <v>-30462.75999999998</v>
      </c>
    </row>
    <row r="48" spans="1:9" x14ac:dyDescent="0.2">
      <c r="A48" s="420" t="s">
        <v>375</v>
      </c>
      <c r="B48" s="420" t="s">
        <v>350</v>
      </c>
      <c r="C48" s="420" t="s">
        <v>39</v>
      </c>
      <c r="D48" s="421">
        <v>0</v>
      </c>
      <c r="E48" s="421">
        <v>0</v>
      </c>
      <c r="F48" s="421">
        <v>0</v>
      </c>
      <c r="G48" s="423">
        <f t="shared" si="10"/>
        <v>0</v>
      </c>
      <c r="H48" s="422">
        <f t="shared" si="11"/>
        <v>0</v>
      </c>
      <c r="I48" s="423">
        <f t="shared" si="12"/>
        <v>0</v>
      </c>
    </row>
    <row r="49" spans="1:9" x14ac:dyDescent="0.2">
      <c r="G49" s="423">
        <f>SUM(G42:G48)</f>
        <v>971732.56</v>
      </c>
      <c r="H49" s="422">
        <f t="shared" si="11"/>
        <v>-0.10441080915325066</v>
      </c>
      <c r="I49" s="423">
        <f t="shared" si="12"/>
        <v>-113287.85999999987</v>
      </c>
    </row>
    <row r="51" spans="1:9" ht="15.75" x14ac:dyDescent="0.25">
      <c r="A51" s="426">
        <v>41973</v>
      </c>
      <c r="B51" s="424" t="s">
        <v>343</v>
      </c>
      <c r="C51" s="424" t="s">
        <v>33</v>
      </c>
      <c r="D51" s="424" t="s">
        <v>34</v>
      </c>
      <c r="E51" s="424" t="s">
        <v>35</v>
      </c>
      <c r="F51" s="424" t="s">
        <v>103</v>
      </c>
      <c r="G51" s="425" t="s">
        <v>9</v>
      </c>
    </row>
    <row r="52" spans="1:9" x14ac:dyDescent="0.2">
      <c r="A52" s="420" t="s">
        <v>375</v>
      </c>
      <c r="B52" s="420" t="s">
        <v>21</v>
      </c>
      <c r="C52" s="420" t="s">
        <v>38</v>
      </c>
      <c r="D52" s="421">
        <v>79.36</v>
      </c>
      <c r="E52" s="421">
        <v>624.16</v>
      </c>
      <c r="F52" s="421">
        <v>355.27</v>
      </c>
      <c r="G52" s="423">
        <f t="shared" ref="G52:G58" si="13">SUM(D52:F52)</f>
        <v>1058.79</v>
      </c>
      <c r="H52" s="422">
        <f t="shared" ref="H52:H59" si="14">IF(G42&gt;0,(G52-G42)/G42,0)</f>
        <v>7.8900709219858103E-2</v>
      </c>
      <c r="I52" s="423">
        <f>G52-G42</f>
        <v>77.42999999999995</v>
      </c>
    </row>
    <row r="53" spans="1:9" x14ac:dyDescent="0.2">
      <c r="A53" s="420" t="s">
        <v>375</v>
      </c>
      <c r="B53" s="420" t="s">
        <v>351</v>
      </c>
      <c r="C53" s="420" t="s">
        <v>38</v>
      </c>
      <c r="D53" s="421">
        <v>0</v>
      </c>
      <c r="E53" s="421">
        <v>0</v>
      </c>
      <c r="F53" s="421">
        <v>0</v>
      </c>
      <c r="G53" s="423">
        <f t="shared" si="13"/>
        <v>0</v>
      </c>
      <c r="H53" s="422">
        <f t="shared" si="14"/>
        <v>0</v>
      </c>
      <c r="I53" s="423">
        <f t="shared" ref="I53:I59" si="15">G53-G43</f>
        <v>0</v>
      </c>
    </row>
    <row r="54" spans="1:9" x14ac:dyDescent="0.2">
      <c r="A54" s="420" t="s">
        <v>375</v>
      </c>
      <c r="B54" s="420" t="s">
        <v>345</v>
      </c>
      <c r="C54" s="420" t="s">
        <v>38</v>
      </c>
      <c r="D54" s="421">
        <v>43388.65</v>
      </c>
      <c r="E54" s="421">
        <v>1416.69</v>
      </c>
      <c r="F54" s="421">
        <v>110832.11</v>
      </c>
      <c r="G54" s="423">
        <f t="shared" si="13"/>
        <v>155637.45000000001</v>
      </c>
      <c r="H54" s="422">
        <f t="shared" si="14"/>
        <v>0.21383812169277516</v>
      </c>
      <c r="I54" s="423">
        <f t="shared" si="15"/>
        <v>27418.170000000013</v>
      </c>
    </row>
    <row r="55" spans="1:9" x14ac:dyDescent="0.2">
      <c r="A55" s="420" t="s">
        <v>375</v>
      </c>
      <c r="B55" s="420" t="s">
        <v>348</v>
      </c>
      <c r="C55" s="420" t="s">
        <v>38</v>
      </c>
      <c r="D55" s="421">
        <v>102619.04</v>
      </c>
      <c r="E55" s="421">
        <v>28428.73</v>
      </c>
      <c r="F55" s="421">
        <v>480923.19</v>
      </c>
      <c r="G55" s="423">
        <f t="shared" si="13"/>
        <v>611970.96</v>
      </c>
      <c r="H55" s="422">
        <f t="shared" si="14"/>
        <v>8.8253200309761248E-2</v>
      </c>
      <c r="I55" s="423">
        <f t="shared" si="15"/>
        <v>49628.519999999902</v>
      </c>
    </row>
    <row r="56" spans="1:9" x14ac:dyDescent="0.2">
      <c r="A56" s="420" t="s">
        <v>375</v>
      </c>
      <c r="B56" s="420" t="s">
        <v>348</v>
      </c>
      <c r="C56" s="420" t="s">
        <v>39</v>
      </c>
      <c r="D56" s="421">
        <v>25214.68</v>
      </c>
      <c r="E56" s="421">
        <v>6120.02</v>
      </c>
      <c r="F56" s="421">
        <v>101524.39</v>
      </c>
      <c r="G56" s="423">
        <f t="shared" si="13"/>
        <v>132859.09</v>
      </c>
      <c r="H56" s="422">
        <f t="shared" si="14"/>
        <v>4.2820696247311059E-2</v>
      </c>
      <c r="I56" s="423">
        <f t="shared" si="15"/>
        <v>5455.5099999999948</v>
      </c>
    </row>
    <row r="57" spans="1:9" x14ac:dyDescent="0.2">
      <c r="A57" s="420" t="s">
        <v>375</v>
      </c>
      <c r="B57" s="420" t="s">
        <v>350</v>
      </c>
      <c r="C57" s="420" t="s">
        <v>38</v>
      </c>
      <c r="D57" s="421">
        <v>44241.43</v>
      </c>
      <c r="E57" s="421">
        <v>5.9</v>
      </c>
      <c r="F57" s="421">
        <v>120599.3</v>
      </c>
      <c r="G57" s="423">
        <f t="shared" si="13"/>
        <v>164846.63</v>
      </c>
      <c r="H57" s="422">
        <f t="shared" si="14"/>
        <v>7.8938763328291486E-2</v>
      </c>
      <c r="I57" s="423">
        <f t="shared" si="15"/>
        <v>12060.73000000001</v>
      </c>
    </row>
    <row r="58" spans="1:9" x14ac:dyDescent="0.2">
      <c r="A58" s="420" t="s">
        <v>375</v>
      </c>
      <c r="B58" s="420" t="s">
        <v>350</v>
      </c>
      <c r="C58" s="420" t="s">
        <v>39</v>
      </c>
      <c r="D58" s="421">
        <v>0</v>
      </c>
      <c r="E58" s="421">
        <v>0</v>
      </c>
      <c r="F58" s="421">
        <v>0</v>
      </c>
      <c r="G58" s="423">
        <f t="shared" si="13"/>
        <v>0</v>
      </c>
      <c r="H58" s="422">
        <f t="shared" si="14"/>
        <v>0</v>
      </c>
      <c r="I58" s="423">
        <f t="shared" si="15"/>
        <v>0</v>
      </c>
    </row>
    <row r="59" spans="1:9" x14ac:dyDescent="0.2">
      <c r="G59" s="423">
        <f>SUM(G52:G58)</f>
        <v>1066372.92</v>
      </c>
      <c r="H59" s="422">
        <f t="shared" si="14"/>
        <v>9.7393422733514104E-2</v>
      </c>
      <c r="I59" s="423">
        <f t="shared" si="15"/>
        <v>94640.35999999987</v>
      </c>
    </row>
    <row r="61" spans="1:9" ht="15.75" x14ac:dyDescent="0.25">
      <c r="A61" s="426">
        <v>42004</v>
      </c>
      <c r="B61" s="424" t="s">
        <v>343</v>
      </c>
      <c r="C61" s="424" t="s">
        <v>33</v>
      </c>
      <c r="D61" s="424" t="s">
        <v>34</v>
      </c>
      <c r="E61" s="424" t="s">
        <v>35</v>
      </c>
      <c r="F61" s="424" t="s">
        <v>103</v>
      </c>
      <c r="G61" s="425" t="s">
        <v>9</v>
      </c>
    </row>
    <row r="62" spans="1:9" x14ac:dyDescent="0.2">
      <c r="A62" s="420" t="s">
        <v>375</v>
      </c>
      <c r="B62" s="420" t="s">
        <v>21</v>
      </c>
      <c r="C62" s="420" t="s">
        <v>38</v>
      </c>
      <c r="D62" s="421">
        <v>648.92999999999995</v>
      </c>
      <c r="E62" s="421">
        <v>71.48</v>
      </c>
      <c r="F62" s="421">
        <v>70.58</v>
      </c>
      <c r="G62" s="423">
        <f t="shared" ref="G62:G68" si="16">SUM(D62:F62)</f>
        <v>790.99</v>
      </c>
      <c r="H62" s="422">
        <f t="shared" ref="H62:H69" si="17">IF(G52&gt;0,(G62-G52)/G52,0)</f>
        <v>-0.25293023167955869</v>
      </c>
      <c r="I62" s="423">
        <f>G62-G52</f>
        <v>-267.79999999999995</v>
      </c>
    </row>
    <row r="63" spans="1:9" x14ac:dyDescent="0.2">
      <c r="A63" s="420" t="s">
        <v>375</v>
      </c>
      <c r="B63" s="420" t="s">
        <v>351</v>
      </c>
      <c r="C63" s="420" t="s">
        <v>38</v>
      </c>
      <c r="D63" s="421">
        <v>0</v>
      </c>
      <c r="E63" s="421">
        <v>0</v>
      </c>
      <c r="F63" s="421">
        <v>0</v>
      </c>
      <c r="G63" s="423">
        <f t="shared" si="16"/>
        <v>0</v>
      </c>
      <c r="H63" s="422">
        <f t="shared" si="17"/>
        <v>0</v>
      </c>
      <c r="I63" s="423">
        <f t="shared" ref="I63:I69" si="18">G63-G53</f>
        <v>0</v>
      </c>
    </row>
    <row r="64" spans="1:9" x14ac:dyDescent="0.2">
      <c r="A64" s="420" t="s">
        <v>375</v>
      </c>
      <c r="B64" s="420" t="s">
        <v>345</v>
      </c>
      <c r="C64" s="420" t="s">
        <v>38</v>
      </c>
      <c r="D64" s="421">
        <v>18105.77</v>
      </c>
      <c r="E64" s="421">
        <v>17347.47</v>
      </c>
      <c r="F64" s="421">
        <v>112244.97</v>
      </c>
      <c r="G64" s="423">
        <f t="shared" si="16"/>
        <v>147698.21000000002</v>
      </c>
      <c r="H64" s="422">
        <f t="shared" si="17"/>
        <v>-5.1011115897876699E-2</v>
      </c>
      <c r="I64" s="423">
        <f t="shared" si="18"/>
        <v>-7939.2399999999907</v>
      </c>
    </row>
    <row r="65" spans="1:9" x14ac:dyDescent="0.2">
      <c r="A65" s="420" t="s">
        <v>375</v>
      </c>
      <c r="B65" s="420" t="s">
        <v>348</v>
      </c>
      <c r="C65" s="420" t="s">
        <v>38</v>
      </c>
      <c r="D65" s="421">
        <v>71088.539999999994</v>
      </c>
      <c r="E65" s="421">
        <v>80592.69</v>
      </c>
      <c r="F65" s="421">
        <v>465285.41</v>
      </c>
      <c r="G65" s="423">
        <f t="shared" si="16"/>
        <v>616966.6399999999</v>
      </c>
      <c r="H65" s="422">
        <f t="shared" si="17"/>
        <v>8.1632631718340613E-3</v>
      </c>
      <c r="I65" s="423">
        <f t="shared" si="18"/>
        <v>4995.6799999999348</v>
      </c>
    </row>
    <row r="66" spans="1:9" x14ac:dyDescent="0.2">
      <c r="A66" s="420" t="s">
        <v>375</v>
      </c>
      <c r="B66" s="420" t="s">
        <v>348</v>
      </c>
      <c r="C66" s="420" t="s">
        <v>39</v>
      </c>
      <c r="D66" s="421">
        <v>19054.79</v>
      </c>
      <c r="E66" s="421">
        <v>21378.77</v>
      </c>
      <c r="F66" s="421">
        <v>89429.65</v>
      </c>
      <c r="G66" s="423">
        <f t="shared" si="16"/>
        <v>129863.20999999999</v>
      </c>
      <c r="H66" s="422">
        <f t="shared" si="17"/>
        <v>-2.2549303927943545E-2</v>
      </c>
      <c r="I66" s="423">
        <f t="shared" si="18"/>
        <v>-2995.8800000000047</v>
      </c>
    </row>
    <row r="67" spans="1:9" x14ac:dyDescent="0.2">
      <c r="A67" s="420" t="s">
        <v>375</v>
      </c>
      <c r="B67" s="420" t="s">
        <v>350</v>
      </c>
      <c r="C67" s="420" t="s">
        <v>38</v>
      </c>
      <c r="D67" s="421">
        <v>20769.46</v>
      </c>
      <c r="E67" s="421">
        <v>38612.32</v>
      </c>
      <c r="F67" s="421">
        <v>97820.64</v>
      </c>
      <c r="G67" s="423">
        <f t="shared" si="16"/>
        <v>157202.41999999998</v>
      </c>
      <c r="H67" s="422">
        <f t="shared" si="17"/>
        <v>-4.6371648604524224E-2</v>
      </c>
      <c r="I67" s="423">
        <f t="shared" si="18"/>
        <v>-7644.210000000021</v>
      </c>
    </row>
    <row r="68" spans="1:9" x14ac:dyDescent="0.2">
      <c r="A68" s="420" t="s">
        <v>375</v>
      </c>
      <c r="B68" s="420" t="s">
        <v>350</v>
      </c>
      <c r="C68" s="420" t="s">
        <v>39</v>
      </c>
      <c r="D68" s="421">
        <v>0</v>
      </c>
      <c r="E68" s="421">
        <v>0</v>
      </c>
      <c r="F68" s="421">
        <v>0</v>
      </c>
      <c r="G68" s="423">
        <f t="shared" si="16"/>
        <v>0</v>
      </c>
      <c r="H68" s="422">
        <f t="shared" si="17"/>
        <v>0</v>
      </c>
      <c r="I68" s="423">
        <f t="shared" si="18"/>
        <v>0</v>
      </c>
    </row>
    <row r="69" spans="1:9" x14ac:dyDescent="0.2">
      <c r="G69" s="423">
        <f>SUM(G62:G68)</f>
        <v>1052521.4699999997</v>
      </c>
      <c r="H69" s="422">
        <f t="shared" si="17"/>
        <v>-1.2989311469012348E-2</v>
      </c>
      <c r="I69" s="423">
        <f t="shared" si="18"/>
        <v>-13851.450000000186</v>
      </c>
    </row>
    <row r="71" spans="1:9" ht="15.75" x14ac:dyDescent="0.25">
      <c r="A71" s="426">
        <v>42035</v>
      </c>
      <c r="B71" s="424" t="s">
        <v>343</v>
      </c>
      <c r="C71" s="424" t="s">
        <v>33</v>
      </c>
      <c r="D71" s="424" t="s">
        <v>34</v>
      </c>
      <c r="E71" s="424" t="s">
        <v>35</v>
      </c>
      <c r="F71" s="424" t="s">
        <v>103</v>
      </c>
      <c r="G71" s="425" t="s">
        <v>9</v>
      </c>
    </row>
    <row r="72" spans="1:9" x14ac:dyDescent="0.2">
      <c r="A72" s="420" t="s">
        <v>375</v>
      </c>
      <c r="B72" s="420" t="s">
        <v>21</v>
      </c>
      <c r="C72" s="420" t="s">
        <v>38</v>
      </c>
      <c r="D72" s="421">
        <v>0.84</v>
      </c>
      <c r="E72" s="421">
        <v>26.1</v>
      </c>
      <c r="F72" s="421">
        <v>78.13</v>
      </c>
      <c r="G72" s="423">
        <f t="shared" ref="G72:G78" si="19">SUM(D72:F72)</f>
        <v>105.07</v>
      </c>
      <c r="H72" s="422">
        <f t="shared" ref="H72:H79" si="20">IF(G62&gt;0,(G72-G62)/G62,0)</f>
        <v>-0.86716646228144489</v>
      </c>
      <c r="I72" s="423">
        <f>G72-G62</f>
        <v>-685.92000000000007</v>
      </c>
    </row>
    <row r="73" spans="1:9" x14ac:dyDescent="0.2">
      <c r="A73" s="420" t="s">
        <v>375</v>
      </c>
      <c r="B73" s="420" t="s">
        <v>351</v>
      </c>
      <c r="C73" s="420" t="s">
        <v>38</v>
      </c>
      <c r="D73" s="421">
        <v>0</v>
      </c>
      <c r="E73" s="421">
        <v>0</v>
      </c>
      <c r="F73" s="421">
        <v>0</v>
      </c>
      <c r="G73" s="423">
        <f t="shared" si="19"/>
        <v>0</v>
      </c>
      <c r="H73" s="422">
        <f t="shared" si="20"/>
        <v>0</v>
      </c>
      <c r="I73" s="423">
        <f t="shared" ref="I73:I79" si="21">G73-G63</f>
        <v>0</v>
      </c>
    </row>
    <row r="74" spans="1:9" x14ac:dyDescent="0.2">
      <c r="A74" s="420" t="s">
        <v>375</v>
      </c>
      <c r="B74" s="420" t="s">
        <v>345</v>
      </c>
      <c r="C74" s="420" t="s">
        <v>38</v>
      </c>
      <c r="D74" s="421">
        <v>4460.49</v>
      </c>
      <c r="E74" s="421">
        <v>16921.75</v>
      </c>
      <c r="F74" s="421">
        <v>121791.86</v>
      </c>
      <c r="G74" s="423">
        <f t="shared" si="19"/>
        <v>143174.1</v>
      </c>
      <c r="H74" s="422">
        <f t="shared" si="20"/>
        <v>-3.0630770677586509E-2</v>
      </c>
      <c r="I74" s="423">
        <f t="shared" si="21"/>
        <v>-4524.1100000000151</v>
      </c>
    </row>
    <row r="75" spans="1:9" x14ac:dyDescent="0.2">
      <c r="A75" s="420" t="s">
        <v>375</v>
      </c>
      <c r="B75" s="420" t="s">
        <v>348</v>
      </c>
      <c r="C75" s="420" t="s">
        <v>38</v>
      </c>
      <c r="D75" s="421">
        <v>45159.13</v>
      </c>
      <c r="E75" s="421">
        <v>58600.25</v>
      </c>
      <c r="F75" s="421">
        <v>497408.16</v>
      </c>
      <c r="G75" s="423">
        <f t="shared" si="19"/>
        <v>601167.54</v>
      </c>
      <c r="H75" s="422">
        <f t="shared" si="20"/>
        <v>-2.5607705466862623E-2</v>
      </c>
      <c r="I75" s="423">
        <f t="shared" si="21"/>
        <v>-15799.09999999986</v>
      </c>
    </row>
    <row r="76" spans="1:9" x14ac:dyDescent="0.2">
      <c r="A76" s="420" t="s">
        <v>375</v>
      </c>
      <c r="B76" s="420" t="s">
        <v>348</v>
      </c>
      <c r="C76" s="420" t="s">
        <v>39</v>
      </c>
      <c r="D76" s="421">
        <v>9813.73</v>
      </c>
      <c r="E76" s="421">
        <v>16192.38</v>
      </c>
      <c r="F76" s="421">
        <v>97580.85</v>
      </c>
      <c r="G76" s="423">
        <f t="shared" si="19"/>
        <v>123586.96</v>
      </c>
      <c r="H76" s="422">
        <f t="shared" si="20"/>
        <v>-4.8329700151413059E-2</v>
      </c>
      <c r="I76" s="423">
        <f t="shared" si="21"/>
        <v>-6276.2499999999854</v>
      </c>
    </row>
    <row r="77" spans="1:9" x14ac:dyDescent="0.2">
      <c r="A77" s="420" t="s">
        <v>375</v>
      </c>
      <c r="B77" s="420" t="s">
        <v>350</v>
      </c>
      <c r="C77" s="420" t="s">
        <v>38</v>
      </c>
      <c r="D77" s="421">
        <v>8343.57</v>
      </c>
      <c r="E77" s="421">
        <v>20325.75</v>
      </c>
      <c r="F77" s="421">
        <v>115134.59</v>
      </c>
      <c r="G77" s="423">
        <f t="shared" si="19"/>
        <v>143803.91</v>
      </c>
      <c r="H77" s="422">
        <f t="shared" si="20"/>
        <v>-8.5230939829043229E-2</v>
      </c>
      <c r="I77" s="423">
        <f t="shared" si="21"/>
        <v>-13398.50999999998</v>
      </c>
    </row>
    <row r="78" spans="1:9" x14ac:dyDescent="0.2">
      <c r="A78" s="420" t="s">
        <v>375</v>
      </c>
      <c r="B78" s="420" t="s">
        <v>350</v>
      </c>
      <c r="C78" s="420" t="s">
        <v>39</v>
      </c>
      <c r="D78" s="421">
        <v>0</v>
      </c>
      <c r="E78" s="421">
        <v>0</v>
      </c>
      <c r="F78" s="421">
        <v>0</v>
      </c>
      <c r="G78" s="423">
        <f t="shared" si="19"/>
        <v>0</v>
      </c>
      <c r="H78" s="422">
        <f t="shared" si="20"/>
        <v>0</v>
      </c>
      <c r="I78" s="423">
        <f t="shared" si="21"/>
        <v>0</v>
      </c>
    </row>
    <row r="79" spans="1:9" x14ac:dyDescent="0.2">
      <c r="G79" s="423">
        <f>SUM(G72:G78)</f>
        <v>1011837.5800000001</v>
      </c>
      <c r="H79" s="422">
        <f t="shared" si="20"/>
        <v>-3.8653738816367966E-2</v>
      </c>
      <c r="I79" s="423">
        <f t="shared" si="21"/>
        <v>-40683.889999999665</v>
      </c>
    </row>
    <row r="81" spans="1:9" ht="15.75" x14ac:dyDescent="0.25">
      <c r="A81" s="426">
        <v>42063</v>
      </c>
      <c r="B81" s="424" t="s">
        <v>343</v>
      </c>
      <c r="C81" s="424" t="s">
        <v>33</v>
      </c>
      <c r="D81" s="424" t="s">
        <v>34</v>
      </c>
      <c r="E81" s="424" t="s">
        <v>35</v>
      </c>
      <c r="F81" s="424" t="s">
        <v>103</v>
      </c>
      <c r="G81" s="425" t="s">
        <v>9</v>
      </c>
    </row>
    <row r="82" spans="1:9" x14ac:dyDescent="0.2">
      <c r="A82" s="420" t="s">
        <v>375</v>
      </c>
      <c r="B82" s="420" t="s">
        <v>21</v>
      </c>
      <c r="C82" s="420" t="s">
        <v>38</v>
      </c>
      <c r="D82" s="421">
        <v>976.43</v>
      </c>
      <c r="E82" s="421">
        <v>0.84</v>
      </c>
      <c r="F82" s="421">
        <v>96.4</v>
      </c>
      <c r="G82" s="423">
        <f t="shared" ref="G82:G88" si="22">SUM(D82:F82)</f>
        <v>1073.67</v>
      </c>
      <c r="H82" s="422">
        <f t="shared" ref="H82:H89" si="23">IF(G72&gt;0,(G82-G72)/G72,0)</f>
        <v>9.218616160654804</v>
      </c>
      <c r="I82" s="423">
        <f>G82-G72</f>
        <v>968.60000000000014</v>
      </c>
    </row>
    <row r="83" spans="1:9" x14ac:dyDescent="0.2">
      <c r="A83" s="420" t="s">
        <v>375</v>
      </c>
      <c r="B83" s="420" t="s">
        <v>351</v>
      </c>
      <c r="C83" s="420" t="s">
        <v>38</v>
      </c>
      <c r="D83" s="421">
        <v>0</v>
      </c>
      <c r="E83" s="421">
        <v>0</v>
      </c>
      <c r="F83" s="421">
        <v>0</v>
      </c>
      <c r="G83" s="423">
        <f t="shared" si="22"/>
        <v>0</v>
      </c>
      <c r="H83" s="422">
        <f t="shared" si="23"/>
        <v>0</v>
      </c>
      <c r="I83" s="423">
        <f t="shared" ref="I83:I89" si="24">G83-G73</f>
        <v>0</v>
      </c>
    </row>
    <row r="84" spans="1:9" x14ac:dyDescent="0.2">
      <c r="A84" s="420" t="s">
        <v>375</v>
      </c>
      <c r="B84" s="420" t="s">
        <v>345</v>
      </c>
      <c r="C84" s="420" t="s">
        <v>38</v>
      </c>
      <c r="D84" s="421">
        <v>33274.61</v>
      </c>
      <c r="E84" s="421">
        <v>4293.71</v>
      </c>
      <c r="F84" s="421">
        <v>128122.59</v>
      </c>
      <c r="G84" s="423">
        <f t="shared" si="22"/>
        <v>165690.91</v>
      </c>
      <c r="H84" s="422">
        <f t="shared" si="23"/>
        <v>0.15726873785132922</v>
      </c>
      <c r="I84" s="423">
        <f t="shared" si="24"/>
        <v>22516.809999999998</v>
      </c>
    </row>
    <row r="85" spans="1:9" x14ac:dyDescent="0.2">
      <c r="A85" s="420" t="s">
        <v>375</v>
      </c>
      <c r="B85" s="420" t="s">
        <v>348</v>
      </c>
      <c r="C85" s="420" t="s">
        <v>38</v>
      </c>
      <c r="D85" s="421">
        <v>98658.54</v>
      </c>
      <c r="E85" s="421">
        <v>34385.94</v>
      </c>
      <c r="F85" s="421">
        <v>500627.55</v>
      </c>
      <c r="G85" s="423">
        <f t="shared" si="22"/>
        <v>633672.03</v>
      </c>
      <c r="H85" s="422">
        <f t="shared" si="23"/>
        <v>5.4068937254995487E-2</v>
      </c>
      <c r="I85" s="423">
        <f t="shared" si="24"/>
        <v>32504.489999999991</v>
      </c>
    </row>
    <row r="86" spans="1:9" x14ac:dyDescent="0.2">
      <c r="A86" s="420" t="s">
        <v>375</v>
      </c>
      <c r="B86" s="420" t="s">
        <v>348</v>
      </c>
      <c r="C86" s="420" t="s">
        <v>39</v>
      </c>
      <c r="D86" s="421">
        <v>31777.63</v>
      </c>
      <c r="E86" s="421">
        <v>7418.39</v>
      </c>
      <c r="F86" s="421">
        <v>97004.89</v>
      </c>
      <c r="G86" s="423">
        <f t="shared" si="22"/>
        <v>136200.91</v>
      </c>
      <c r="H86" s="422">
        <f t="shared" si="23"/>
        <v>0.10206537971319948</v>
      </c>
      <c r="I86" s="423">
        <f t="shared" si="24"/>
        <v>12613.949999999997</v>
      </c>
    </row>
    <row r="87" spans="1:9" x14ac:dyDescent="0.2">
      <c r="A87" s="420" t="s">
        <v>375</v>
      </c>
      <c r="B87" s="420" t="s">
        <v>350</v>
      </c>
      <c r="C87" s="420" t="s">
        <v>38</v>
      </c>
      <c r="D87" s="421">
        <v>36567.65</v>
      </c>
      <c r="E87" s="421">
        <v>275.89999999999998</v>
      </c>
      <c r="F87" s="421">
        <v>91974.84</v>
      </c>
      <c r="G87" s="423">
        <f t="shared" si="22"/>
        <v>128818.39</v>
      </c>
      <c r="H87" s="422">
        <f t="shared" si="23"/>
        <v>-0.10420801492810594</v>
      </c>
      <c r="I87" s="423">
        <f t="shared" si="24"/>
        <v>-14985.520000000004</v>
      </c>
    </row>
    <row r="88" spans="1:9" x14ac:dyDescent="0.2">
      <c r="A88" s="420" t="s">
        <v>375</v>
      </c>
      <c r="B88" s="420" t="s">
        <v>350</v>
      </c>
      <c r="C88" s="420" t="s">
        <v>39</v>
      </c>
      <c r="D88" s="421">
        <v>0</v>
      </c>
      <c r="E88" s="421">
        <v>0</v>
      </c>
      <c r="F88" s="421">
        <v>0</v>
      </c>
      <c r="G88" s="423">
        <f t="shared" si="22"/>
        <v>0</v>
      </c>
      <c r="H88" s="422">
        <f t="shared" si="23"/>
        <v>0</v>
      </c>
      <c r="I88" s="423">
        <f t="shared" si="24"/>
        <v>0</v>
      </c>
    </row>
    <row r="89" spans="1:9" x14ac:dyDescent="0.2">
      <c r="G89" s="423">
        <f>SUM(G82:G88)</f>
        <v>1065455.9100000001</v>
      </c>
      <c r="H89" s="422">
        <f t="shared" si="23"/>
        <v>5.2991044274121615E-2</v>
      </c>
      <c r="I89" s="423">
        <f t="shared" si="24"/>
        <v>53618.330000000075</v>
      </c>
    </row>
    <row r="91" spans="1:9" ht="15.75" x14ac:dyDescent="0.25">
      <c r="A91" s="426">
        <v>42094</v>
      </c>
      <c r="B91" s="424" t="s">
        <v>343</v>
      </c>
      <c r="C91" s="424" t="s">
        <v>33</v>
      </c>
      <c r="D91" s="424" t="s">
        <v>34</v>
      </c>
      <c r="E91" s="424" t="s">
        <v>35</v>
      </c>
      <c r="F91" s="424" t="s">
        <v>103</v>
      </c>
      <c r="G91" s="425" t="s">
        <v>9</v>
      </c>
    </row>
    <row r="92" spans="1:9" x14ac:dyDescent="0.2">
      <c r="A92" s="420" t="s">
        <v>375</v>
      </c>
      <c r="B92" s="420" t="s">
        <v>21</v>
      </c>
      <c r="C92" s="420" t="s">
        <v>38</v>
      </c>
      <c r="D92" s="421">
        <f>27871.04-27871</f>
        <v>4.0000000000873115E-2</v>
      </c>
      <c r="E92" s="421">
        <v>987.48</v>
      </c>
      <c r="F92" s="421">
        <v>60.33</v>
      </c>
      <c r="G92" s="423">
        <f t="shared" ref="G92:G98" si="25">SUM(D92:F92)</f>
        <v>1047.8500000000008</v>
      </c>
      <c r="H92" s="422">
        <f t="shared" ref="H92:H99" si="26">IF(G82&gt;0,(G92-G82)/G82,0)</f>
        <v>-2.4048357502770172E-2</v>
      </c>
      <c r="I92" s="423">
        <f>G92-G82</f>
        <v>-25.819999999999254</v>
      </c>
    </row>
    <row r="93" spans="1:9" x14ac:dyDescent="0.2">
      <c r="A93" s="420" t="s">
        <v>375</v>
      </c>
      <c r="B93" s="420" t="s">
        <v>351</v>
      </c>
      <c r="C93" s="420" t="s">
        <v>38</v>
      </c>
      <c r="D93" s="421">
        <v>0</v>
      </c>
      <c r="E93" s="421">
        <v>0</v>
      </c>
      <c r="F93" s="421">
        <v>0</v>
      </c>
      <c r="G93" s="423">
        <f t="shared" si="25"/>
        <v>0</v>
      </c>
      <c r="H93" s="422">
        <f t="shared" si="26"/>
        <v>0</v>
      </c>
      <c r="I93" s="423">
        <f t="shared" ref="I93:I99" si="27">G93-G83</f>
        <v>0</v>
      </c>
    </row>
    <row r="94" spans="1:9" x14ac:dyDescent="0.2">
      <c r="A94" s="420" t="s">
        <v>375</v>
      </c>
      <c r="B94" s="420" t="s">
        <v>345</v>
      </c>
      <c r="C94" s="420" t="s">
        <v>38</v>
      </c>
      <c r="D94" s="421">
        <v>10591.1</v>
      </c>
      <c r="E94" s="421">
        <v>20197.38</v>
      </c>
      <c r="F94" s="421">
        <v>116224.61</v>
      </c>
      <c r="G94" s="423">
        <f t="shared" si="25"/>
        <v>147013.09</v>
      </c>
      <c r="H94" s="422">
        <f t="shared" si="26"/>
        <v>-0.1127268840517564</v>
      </c>
      <c r="I94" s="423">
        <f t="shared" si="27"/>
        <v>-18677.820000000007</v>
      </c>
    </row>
    <row r="95" spans="1:9" x14ac:dyDescent="0.2">
      <c r="A95" s="420" t="s">
        <v>375</v>
      </c>
      <c r="B95" s="420" t="s">
        <v>348</v>
      </c>
      <c r="C95" s="420" t="s">
        <v>38</v>
      </c>
      <c r="D95" s="421">
        <v>74476.75</v>
      </c>
      <c r="E95" s="421">
        <v>67256.56</v>
      </c>
      <c r="F95" s="421">
        <v>460597.93</v>
      </c>
      <c r="G95" s="423">
        <f t="shared" si="25"/>
        <v>602331.24</v>
      </c>
      <c r="H95" s="422">
        <f t="shared" si="26"/>
        <v>-4.9459007998191168E-2</v>
      </c>
      <c r="I95" s="423">
        <f t="shared" si="27"/>
        <v>-31340.790000000037</v>
      </c>
    </row>
    <row r="96" spans="1:9" x14ac:dyDescent="0.2">
      <c r="A96" s="420" t="s">
        <v>375</v>
      </c>
      <c r="B96" s="420" t="s">
        <v>348</v>
      </c>
      <c r="C96" s="420" t="s">
        <v>39</v>
      </c>
      <c r="D96" s="421">
        <v>22607.37</v>
      </c>
      <c r="E96" s="421">
        <v>25323.45</v>
      </c>
      <c r="F96" s="421">
        <v>87897.33</v>
      </c>
      <c r="G96" s="423">
        <f t="shared" si="25"/>
        <v>135828.15</v>
      </c>
      <c r="H96" s="422">
        <f t="shared" si="26"/>
        <v>-2.7368392766245783E-3</v>
      </c>
      <c r="I96" s="423">
        <f t="shared" si="27"/>
        <v>-372.76000000000931</v>
      </c>
    </row>
    <row r="97" spans="1:9" x14ac:dyDescent="0.2">
      <c r="A97" s="420" t="s">
        <v>375</v>
      </c>
      <c r="B97" s="420" t="s">
        <v>350</v>
      </c>
      <c r="C97" s="420" t="s">
        <v>38</v>
      </c>
      <c r="D97" s="421">
        <v>7341.1</v>
      </c>
      <c r="E97" s="421">
        <v>28801.87</v>
      </c>
      <c r="F97" s="421">
        <v>83616.490000000005</v>
      </c>
      <c r="G97" s="423">
        <f t="shared" si="25"/>
        <v>119759.46</v>
      </c>
      <c r="H97" s="422">
        <f t="shared" si="26"/>
        <v>-7.0323266732335285E-2</v>
      </c>
      <c r="I97" s="423">
        <f t="shared" si="27"/>
        <v>-9058.929999999993</v>
      </c>
    </row>
    <row r="98" spans="1:9" x14ac:dyDescent="0.2">
      <c r="A98" s="420" t="s">
        <v>375</v>
      </c>
      <c r="B98" s="420" t="s">
        <v>350</v>
      </c>
      <c r="C98" s="420" t="s">
        <v>39</v>
      </c>
      <c r="D98" s="421">
        <v>0</v>
      </c>
      <c r="E98" s="421">
        <v>0</v>
      </c>
      <c r="F98" s="421">
        <v>0</v>
      </c>
      <c r="G98" s="423">
        <f t="shared" si="25"/>
        <v>0</v>
      </c>
      <c r="H98" s="422">
        <f t="shared" si="26"/>
        <v>0</v>
      </c>
      <c r="I98" s="423">
        <f t="shared" si="27"/>
        <v>0</v>
      </c>
    </row>
    <row r="99" spans="1:9" x14ac:dyDescent="0.2">
      <c r="G99" s="423">
        <f>SUM(G92:G98)</f>
        <v>1005979.7899999999</v>
      </c>
      <c r="H99" s="422">
        <f t="shared" si="26"/>
        <v>-5.582222543587019E-2</v>
      </c>
      <c r="I99" s="423">
        <f t="shared" si="27"/>
        <v>-59476.120000000228</v>
      </c>
    </row>
    <row r="101" spans="1:9" ht="15.75" x14ac:dyDescent="0.25">
      <c r="A101" s="426">
        <v>42124</v>
      </c>
      <c r="B101" s="424" t="s">
        <v>343</v>
      </c>
      <c r="C101" s="424" t="s">
        <v>33</v>
      </c>
      <c r="D101" s="424" t="s">
        <v>34</v>
      </c>
      <c r="E101" s="424" t="s">
        <v>35</v>
      </c>
      <c r="F101" s="424" t="s">
        <v>103</v>
      </c>
      <c r="G101" s="425" t="s">
        <v>9</v>
      </c>
    </row>
    <row r="102" spans="1:9" x14ac:dyDescent="0.2">
      <c r="A102" s="420" t="s">
        <v>375</v>
      </c>
      <c r="B102" s="420" t="s">
        <v>21</v>
      </c>
      <c r="C102" s="420" t="s">
        <v>38</v>
      </c>
      <c r="D102" s="423">
        <v>1000.63</v>
      </c>
      <c r="E102" s="423">
        <v>0</v>
      </c>
      <c r="F102" s="423">
        <v>1056.69</v>
      </c>
      <c r="G102" s="423">
        <f t="shared" ref="G102:G108" si="28">SUM(D102:F102)</f>
        <v>2057.3200000000002</v>
      </c>
      <c r="H102" s="422">
        <f t="shared" ref="H102:H109" si="29">IF(G92&gt;0,(G102-G92)/G92,0)</f>
        <v>0.96337262012692515</v>
      </c>
      <c r="I102" s="423">
        <f>G102-G92</f>
        <v>1009.4699999999993</v>
      </c>
    </row>
    <row r="103" spans="1:9" x14ac:dyDescent="0.2">
      <c r="A103" s="420" t="s">
        <v>375</v>
      </c>
      <c r="B103" s="420" t="s">
        <v>351</v>
      </c>
      <c r="C103" s="420" t="s">
        <v>38</v>
      </c>
      <c r="D103" s="423">
        <v>0</v>
      </c>
      <c r="E103" s="423">
        <v>0</v>
      </c>
      <c r="F103" s="423">
        <v>0</v>
      </c>
      <c r="G103" s="423">
        <f t="shared" si="28"/>
        <v>0</v>
      </c>
      <c r="H103" s="422">
        <f t="shared" si="29"/>
        <v>0</v>
      </c>
      <c r="I103" s="423">
        <f t="shared" ref="I103:I109" si="30">G103-G93</f>
        <v>0</v>
      </c>
    </row>
    <row r="104" spans="1:9" x14ac:dyDescent="0.2">
      <c r="A104" s="420" t="s">
        <v>375</v>
      </c>
      <c r="B104" s="420" t="s">
        <v>345</v>
      </c>
      <c r="C104" s="420" t="s">
        <v>38</v>
      </c>
      <c r="D104" s="423">
        <v>4894.55</v>
      </c>
      <c r="E104" s="423">
        <v>9365.98</v>
      </c>
      <c r="F104" s="423">
        <v>126114.86</v>
      </c>
      <c r="G104" s="423">
        <f t="shared" si="28"/>
        <v>140375.39000000001</v>
      </c>
      <c r="H104" s="422">
        <f t="shared" si="29"/>
        <v>-4.5150401232978525E-2</v>
      </c>
      <c r="I104" s="423">
        <f t="shared" si="30"/>
        <v>-6637.6999999999825</v>
      </c>
    </row>
    <row r="105" spans="1:9" x14ac:dyDescent="0.2">
      <c r="A105" s="420" t="s">
        <v>375</v>
      </c>
      <c r="B105" s="420" t="s">
        <v>348</v>
      </c>
      <c r="C105" s="420" t="s">
        <v>38</v>
      </c>
      <c r="D105" s="423">
        <v>45844.58</v>
      </c>
      <c r="E105" s="423">
        <v>59083.46</v>
      </c>
      <c r="F105" s="423">
        <v>462590.56</v>
      </c>
      <c r="G105" s="423">
        <f t="shared" si="28"/>
        <v>567518.6</v>
      </c>
      <c r="H105" s="422">
        <f t="shared" si="29"/>
        <v>-5.779650412952185E-2</v>
      </c>
      <c r="I105" s="423">
        <f t="shared" si="30"/>
        <v>-34812.640000000014</v>
      </c>
    </row>
    <row r="106" spans="1:9" x14ac:dyDescent="0.2">
      <c r="A106" s="420" t="s">
        <v>375</v>
      </c>
      <c r="B106" s="420" t="s">
        <v>348</v>
      </c>
      <c r="C106" s="420" t="s">
        <v>39</v>
      </c>
      <c r="D106" s="423">
        <v>15591.86</v>
      </c>
      <c r="E106" s="423">
        <v>18733.96</v>
      </c>
      <c r="F106" s="423">
        <v>97689.71</v>
      </c>
      <c r="G106" s="423">
        <f t="shared" si="28"/>
        <v>132015.53</v>
      </c>
      <c r="H106" s="422">
        <f t="shared" si="29"/>
        <v>-2.8069439214183478E-2</v>
      </c>
      <c r="I106" s="423">
        <f t="shared" si="30"/>
        <v>-3812.6199999999953</v>
      </c>
    </row>
    <row r="107" spans="1:9" x14ac:dyDescent="0.2">
      <c r="A107" s="420" t="s">
        <v>375</v>
      </c>
      <c r="B107" s="420" t="s">
        <v>350</v>
      </c>
      <c r="C107" s="420" t="s">
        <v>38</v>
      </c>
      <c r="D107" s="423">
        <v>2246.69</v>
      </c>
      <c r="E107" s="423">
        <v>6379.65</v>
      </c>
      <c r="F107" s="423">
        <v>100145.47</v>
      </c>
      <c r="G107" s="423">
        <f t="shared" si="28"/>
        <v>108771.81</v>
      </c>
      <c r="H107" s="422">
        <f t="shared" si="29"/>
        <v>-9.1747658180823533E-2</v>
      </c>
      <c r="I107" s="423">
        <f t="shared" si="30"/>
        <v>-10987.650000000009</v>
      </c>
    </row>
    <row r="108" spans="1:9" x14ac:dyDescent="0.2">
      <c r="A108" s="420" t="s">
        <v>375</v>
      </c>
      <c r="B108" s="420" t="s">
        <v>350</v>
      </c>
      <c r="C108" s="420" t="s">
        <v>39</v>
      </c>
      <c r="D108" s="423">
        <v>0</v>
      </c>
      <c r="E108" s="423">
        <v>0</v>
      </c>
      <c r="F108" s="423">
        <v>0</v>
      </c>
      <c r="G108" s="423">
        <f t="shared" si="28"/>
        <v>0</v>
      </c>
      <c r="H108" s="422">
        <f t="shared" si="29"/>
        <v>0</v>
      </c>
      <c r="I108" s="423">
        <f t="shared" si="30"/>
        <v>0</v>
      </c>
    </row>
    <row r="109" spans="1:9" x14ac:dyDescent="0.2">
      <c r="G109" s="423">
        <f>SUM(G102:G108)</f>
        <v>950738.65000000014</v>
      </c>
      <c r="H109" s="422">
        <f t="shared" si="29"/>
        <v>-5.4912773148255579E-2</v>
      </c>
      <c r="I109" s="423">
        <f t="shared" si="30"/>
        <v>-55241.139999999781</v>
      </c>
    </row>
    <row r="111" spans="1:9" ht="15.75" x14ac:dyDescent="0.25">
      <c r="A111" s="426">
        <v>41790</v>
      </c>
      <c r="B111" s="424" t="s">
        <v>343</v>
      </c>
      <c r="C111" s="424" t="s">
        <v>33</v>
      </c>
      <c r="D111" s="424" t="s">
        <v>34</v>
      </c>
      <c r="E111" s="424" t="s">
        <v>35</v>
      </c>
      <c r="F111" s="424" t="s">
        <v>103</v>
      </c>
      <c r="G111" s="425" t="s">
        <v>9</v>
      </c>
    </row>
    <row r="112" spans="1:9" x14ac:dyDescent="0.2">
      <c r="A112" s="420" t="s">
        <v>375</v>
      </c>
      <c r="B112" s="420" t="s">
        <v>21</v>
      </c>
      <c r="C112" s="420" t="s">
        <v>38</v>
      </c>
      <c r="D112" s="423">
        <v>685.39</v>
      </c>
      <c r="E112" s="423">
        <v>28.1</v>
      </c>
      <c r="F112" s="423">
        <v>63.67</v>
      </c>
      <c r="G112" s="423">
        <f t="shared" ref="G112:G118" si="31">SUM(D112:F112)</f>
        <v>777.16</v>
      </c>
      <c r="H112" s="422">
        <f t="shared" ref="H112:H119" si="32">IF(G102&gt;0,(G112-G102)/G102,0)</f>
        <v>-0.62224641766958966</v>
      </c>
      <c r="I112" s="423">
        <f>G112-G102</f>
        <v>-1280.1600000000003</v>
      </c>
    </row>
    <row r="113" spans="1:9" x14ac:dyDescent="0.2">
      <c r="A113" s="420" t="s">
        <v>375</v>
      </c>
      <c r="B113" s="420" t="s">
        <v>351</v>
      </c>
      <c r="C113" s="420" t="s">
        <v>38</v>
      </c>
      <c r="D113" s="423">
        <v>0</v>
      </c>
      <c r="E113" s="423">
        <v>0</v>
      </c>
      <c r="F113" s="423">
        <v>0</v>
      </c>
      <c r="G113" s="423">
        <f t="shared" si="31"/>
        <v>0</v>
      </c>
      <c r="H113" s="422">
        <f t="shared" si="32"/>
        <v>0</v>
      </c>
      <c r="I113" s="423">
        <f t="shared" ref="I113:I119" si="33">G113-G103</f>
        <v>0</v>
      </c>
    </row>
    <row r="114" spans="1:9" x14ac:dyDescent="0.2">
      <c r="A114" s="420" t="s">
        <v>375</v>
      </c>
      <c r="B114" s="420" t="s">
        <v>345</v>
      </c>
      <c r="C114" s="420" t="s">
        <v>38</v>
      </c>
      <c r="D114" s="423">
        <v>22108.720000000001</v>
      </c>
      <c r="E114" s="423">
        <v>2073.7199999999998</v>
      </c>
      <c r="F114" s="423">
        <v>124662.99</v>
      </c>
      <c r="G114" s="423">
        <f t="shared" si="31"/>
        <v>148845.43</v>
      </c>
      <c r="H114" s="422">
        <f t="shared" si="32"/>
        <v>6.0338496655289633E-2</v>
      </c>
      <c r="I114" s="423">
        <f t="shared" si="33"/>
        <v>8470.039999999979</v>
      </c>
    </row>
    <row r="115" spans="1:9" x14ac:dyDescent="0.2">
      <c r="A115" s="420" t="s">
        <v>375</v>
      </c>
      <c r="B115" s="420" t="s">
        <v>348</v>
      </c>
      <c r="C115" s="420" t="s">
        <v>38</v>
      </c>
      <c r="D115" s="423">
        <v>93436.479999999996</v>
      </c>
      <c r="E115" s="423">
        <v>36249.82</v>
      </c>
      <c r="F115" s="423">
        <v>466361.37</v>
      </c>
      <c r="G115" s="423">
        <f t="shared" si="31"/>
        <v>596047.66999999993</v>
      </c>
      <c r="H115" s="422">
        <f t="shared" si="32"/>
        <v>5.0269841376123975E-2</v>
      </c>
      <c r="I115" s="423">
        <f t="shared" si="33"/>
        <v>28529.069999999949</v>
      </c>
    </row>
    <row r="116" spans="1:9" x14ac:dyDescent="0.2">
      <c r="A116" s="420" t="s">
        <v>375</v>
      </c>
      <c r="B116" s="420" t="s">
        <v>348</v>
      </c>
      <c r="C116" s="420" t="s">
        <v>39</v>
      </c>
      <c r="D116" s="423">
        <v>40834.43</v>
      </c>
      <c r="E116" s="423">
        <v>12295.88</v>
      </c>
      <c r="F116" s="423">
        <v>97650.23</v>
      </c>
      <c r="G116" s="423">
        <f t="shared" si="31"/>
        <v>150780.53999999998</v>
      </c>
      <c r="H116" s="422">
        <f t="shared" si="32"/>
        <v>0.14214244339283402</v>
      </c>
      <c r="I116" s="423">
        <f t="shared" si="33"/>
        <v>18765.00999999998</v>
      </c>
    </row>
    <row r="117" spans="1:9" x14ac:dyDescent="0.2">
      <c r="A117" s="420" t="s">
        <v>375</v>
      </c>
      <c r="B117" s="420" t="s">
        <v>350</v>
      </c>
      <c r="C117" s="420" t="s">
        <v>38</v>
      </c>
      <c r="D117" s="423">
        <v>33140.83</v>
      </c>
      <c r="E117" s="423">
        <v>1397.18</v>
      </c>
      <c r="F117" s="423">
        <v>93694.99</v>
      </c>
      <c r="G117" s="423">
        <f t="shared" si="31"/>
        <v>128233</v>
      </c>
      <c r="H117" s="422">
        <f t="shared" si="32"/>
        <v>0.1789175890334086</v>
      </c>
      <c r="I117" s="423">
        <f t="shared" si="33"/>
        <v>19461.190000000002</v>
      </c>
    </row>
    <row r="118" spans="1:9" x14ac:dyDescent="0.2">
      <c r="A118" s="420" t="s">
        <v>375</v>
      </c>
      <c r="B118" s="420" t="s">
        <v>350</v>
      </c>
      <c r="C118" s="420" t="s">
        <v>39</v>
      </c>
      <c r="D118" s="423">
        <v>0</v>
      </c>
      <c r="E118" s="423">
        <v>0</v>
      </c>
      <c r="F118" s="423">
        <v>0</v>
      </c>
      <c r="G118" s="423">
        <f t="shared" si="31"/>
        <v>0</v>
      </c>
      <c r="H118" s="422">
        <f t="shared" si="32"/>
        <v>0</v>
      </c>
      <c r="I118" s="423">
        <f t="shared" si="33"/>
        <v>0</v>
      </c>
    </row>
    <row r="119" spans="1:9" x14ac:dyDescent="0.2">
      <c r="G119" s="423">
        <f>SUM(G112:G118)</f>
        <v>1024683.7999999998</v>
      </c>
      <c r="H119" s="422">
        <f t="shared" si="32"/>
        <v>7.777652670373679E-2</v>
      </c>
      <c r="I119" s="423">
        <f t="shared" si="33"/>
        <v>73945.149999999674</v>
      </c>
    </row>
    <row r="121" spans="1:9" ht="15.75" x14ac:dyDescent="0.25">
      <c r="A121" s="426">
        <v>42185</v>
      </c>
      <c r="B121" s="424" t="s">
        <v>343</v>
      </c>
      <c r="C121" s="424" t="s">
        <v>33</v>
      </c>
      <c r="D121" s="424" t="s">
        <v>34</v>
      </c>
      <c r="E121" s="424" t="s">
        <v>35</v>
      </c>
      <c r="F121" s="424" t="s">
        <v>103</v>
      </c>
      <c r="G121" s="425" t="s">
        <v>9</v>
      </c>
    </row>
    <row r="122" spans="1:9" x14ac:dyDescent="0.2">
      <c r="A122" s="420" t="s">
        <v>375</v>
      </c>
      <c r="B122" s="420" t="s">
        <v>21</v>
      </c>
      <c r="C122" s="420" t="s">
        <v>38</v>
      </c>
      <c r="D122" s="423">
        <v>3364.66</v>
      </c>
      <c r="E122" s="423">
        <v>0</v>
      </c>
      <c r="F122" s="423">
        <v>88.58</v>
      </c>
      <c r="G122" s="423">
        <f t="shared" ref="G122:G128" si="34">SUM(D122:F122)</f>
        <v>3453.24</v>
      </c>
      <c r="H122" s="422">
        <f t="shared" ref="H122:H129" si="35">IF(G112&gt;0,(G122-G112)/G112,0)</f>
        <v>3.4434093365587524</v>
      </c>
      <c r="I122" s="423">
        <f>G122-G112</f>
        <v>2676.08</v>
      </c>
    </row>
    <row r="123" spans="1:9" x14ac:dyDescent="0.2">
      <c r="A123" s="420" t="s">
        <v>375</v>
      </c>
      <c r="B123" s="420" t="s">
        <v>351</v>
      </c>
      <c r="C123" s="420" t="s">
        <v>38</v>
      </c>
      <c r="D123" s="423">
        <v>0</v>
      </c>
      <c r="E123" s="423">
        <v>0</v>
      </c>
      <c r="F123" s="423">
        <v>0</v>
      </c>
      <c r="G123" s="423">
        <f t="shared" si="34"/>
        <v>0</v>
      </c>
      <c r="H123" s="422">
        <f t="shared" si="35"/>
        <v>0</v>
      </c>
      <c r="I123" s="423">
        <f t="shared" ref="I123:I129" si="36">G123-G113</f>
        <v>0</v>
      </c>
    </row>
    <row r="124" spans="1:9" x14ac:dyDescent="0.2">
      <c r="A124" s="420" t="s">
        <v>375</v>
      </c>
      <c r="B124" s="420" t="s">
        <v>345</v>
      </c>
      <c r="C124" s="420" t="s">
        <v>38</v>
      </c>
      <c r="D124" s="423">
        <v>9395.69</v>
      </c>
      <c r="E124" s="423">
        <v>13771.93</v>
      </c>
      <c r="F124" s="423">
        <v>112966.46</v>
      </c>
      <c r="G124" s="423">
        <f t="shared" si="34"/>
        <v>136134.08000000002</v>
      </c>
      <c r="H124" s="422">
        <f t="shared" si="35"/>
        <v>-8.5399665948762943E-2</v>
      </c>
      <c r="I124" s="423">
        <f t="shared" si="36"/>
        <v>-12711.349999999977</v>
      </c>
    </row>
    <row r="125" spans="1:9" x14ac:dyDescent="0.2">
      <c r="A125" s="420" t="s">
        <v>375</v>
      </c>
      <c r="B125" s="420" t="s">
        <v>348</v>
      </c>
      <c r="C125" s="420" t="s">
        <v>38</v>
      </c>
      <c r="D125" s="423">
        <v>96525.62</v>
      </c>
      <c r="E125" s="423">
        <v>68536.33</v>
      </c>
      <c r="F125" s="423">
        <v>463924.15</v>
      </c>
      <c r="G125" s="423">
        <f t="shared" si="34"/>
        <v>628986.10000000009</v>
      </c>
      <c r="H125" s="422">
        <f t="shared" si="35"/>
        <v>5.5261402162683014E-2</v>
      </c>
      <c r="I125" s="423">
        <f t="shared" si="36"/>
        <v>32938.430000000168</v>
      </c>
    </row>
    <row r="126" spans="1:9" x14ac:dyDescent="0.2">
      <c r="A126" s="420" t="s">
        <v>375</v>
      </c>
      <c r="B126" s="420" t="s">
        <v>348</v>
      </c>
      <c r="C126" s="420" t="s">
        <v>39</v>
      </c>
      <c r="D126" s="423">
        <v>26588.12</v>
      </c>
      <c r="E126" s="423">
        <v>33365.26</v>
      </c>
      <c r="F126" s="423">
        <v>95337.8</v>
      </c>
      <c r="G126" s="423">
        <f t="shared" si="34"/>
        <v>155291.18</v>
      </c>
      <c r="H126" s="422">
        <f t="shared" si="35"/>
        <v>2.9915266253854871E-2</v>
      </c>
      <c r="I126" s="423">
        <f t="shared" si="36"/>
        <v>4510.640000000014</v>
      </c>
    </row>
    <row r="127" spans="1:9" x14ac:dyDescent="0.2">
      <c r="A127" s="420" t="s">
        <v>375</v>
      </c>
      <c r="B127" s="420" t="s">
        <v>350</v>
      </c>
      <c r="C127" s="420" t="s">
        <v>38</v>
      </c>
      <c r="D127" s="423">
        <v>4616.49</v>
      </c>
      <c r="E127" s="423">
        <v>25363.34</v>
      </c>
      <c r="F127" s="423">
        <v>82187.81</v>
      </c>
      <c r="G127" s="423">
        <f t="shared" si="34"/>
        <v>112167.64</v>
      </c>
      <c r="H127" s="422">
        <f t="shared" si="35"/>
        <v>-0.1252825715689409</v>
      </c>
      <c r="I127" s="423">
        <f t="shared" si="36"/>
        <v>-16065.36</v>
      </c>
    </row>
    <row r="128" spans="1:9" x14ac:dyDescent="0.2">
      <c r="A128" s="420" t="s">
        <v>375</v>
      </c>
      <c r="B128" s="420" t="s">
        <v>350</v>
      </c>
      <c r="C128" s="420" t="s">
        <v>39</v>
      </c>
      <c r="D128" s="423">
        <v>0</v>
      </c>
      <c r="E128" s="423">
        <v>0</v>
      </c>
      <c r="F128" s="423">
        <v>0</v>
      </c>
      <c r="G128" s="423">
        <f t="shared" si="34"/>
        <v>0</v>
      </c>
      <c r="H128" s="422">
        <f t="shared" si="35"/>
        <v>0</v>
      </c>
      <c r="I128" s="423">
        <f t="shared" si="36"/>
        <v>0</v>
      </c>
    </row>
    <row r="129" spans="1:9" x14ac:dyDescent="0.2">
      <c r="G129" s="423">
        <f>SUM(G122:G128)</f>
        <v>1036032.2400000001</v>
      </c>
      <c r="H129" s="422">
        <f t="shared" si="35"/>
        <v>1.1075065303072319E-2</v>
      </c>
      <c r="I129" s="423">
        <f t="shared" si="36"/>
        <v>11348.440000000293</v>
      </c>
    </row>
    <row r="131" spans="1:9" ht="15.75" x14ac:dyDescent="0.25">
      <c r="A131" s="426">
        <v>42216</v>
      </c>
      <c r="B131" s="424" t="s">
        <v>343</v>
      </c>
      <c r="C131" s="424" t="s">
        <v>33</v>
      </c>
      <c r="D131" s="424" t="s">
        <v>34</v>
      </c>
      <c r="E131" s="424" t="s">
        <v>35</v>
      </c>
      <c r="F131" s="424" t="s">
        <v>103</v>
      </c>
      <c r="G131" s="425" t="s">
        <v>9</v>
      </c>
    </row>
    <row r="132" spans="1:9" x14ac:dyDescent="0.2">
      <c r="A132" s="420" t="s">
        <v>386</v>
      </c>
      <c r="B132" s="420" t="s">
        <v>21</v>
      </c>
      <c r="C132" s="420" t="s">
        <v>38</v>
      </c>
      <c r="D132" s="423">
        <v>368.19</v>
      </c>
      <c r="E132" s="423">
        <v>1240.48</v>
      </c>
      <c r="F132" s="423">
        <v>64.45</v>
      </c>
      <c r="G132" s="423">
        <f t="shared" ref="G132:G138" si="37">SUM(D132:F132)</f>
        <v>1673.1200000000001</v>
      </c>
      <c r="H132" s="422">
        <f t="shared" ref="H132:H139" si="38">IF(G122&gt;0,(G132-G122)/G122,0)</f>
        <v>-0.51549269671381071</v>
      </c>
      <c r="I132" s="423">
        <f>G132-G122</f>
        <v>-1780.1199999999997</v>
      </c>
    </row>
    <row r="133" spans="1:9" x14ac:dyDescent="0.2">
      <c r="A133" s="420" t="s">
        <v>386</v>
      </c>
      <c r="B133" s="420" t="s">
        <v>351</v>
      </c>
      <c r="C133" s="420" t="s">
        <v>38</v>
      </c>
      <c r="D133" s="423">
        <v>0</v>
      </c>
      <c r="E133" s="423">
        <v>0</v>
      </c>
      <c r="F133" s="423">
        <v>0</v>
      </c>
      <c r="G133" s="423">
        <f t="shared" si="37"/>
        <v>0</v>
      </c>
      <c r="H133" s="422">
        <f t="shared" si="38"/>
        <v>0</v>
      </c>
      <c r="I133" s="423">
        <f t="shared" ref="I133:I139" si="39">G133-G123</f>
        <v>0</v>
      </c>
    </row>
    <row r="134" spans="1:9" x14ac:dyDescent="0.2">
      <c r="A134" s="420" t="s">
        <v>386</v>
      </c>
      <c r="B134" s="420" t="s">
        <v>345</v>
      </c>
      <c r="C134" s="420" t="s">
        <v>38</v>
      </c>
      <c r="D134" s="423">
        <v>14680.06</v>
      </c>
      <c r="E134" s="423">
        <v>8673.98</v>
      </c>
      <c r="F134" s="423">
        <v>115555.64</v>
      </c>
      <c r="G134" s="423">
        <f t="shared" si="37"/>
        <v>138909.68</v>
      </c>
      <c r="H134" s="422">
        <f t="shared" si="38"/>
        <v>2.0388722647554355E-2</v>
      </c>
      <c r="I134" s="423">
        <f t="shared" si="39"/>
        <v>2775.5999999999767</v>
      </c>
    </row>
    <row r="135" spans="1:9" x14ac:dyDescent="0.2">
      <c r="A135" s="420" t="s">
        <v>386</v>
      </c>
      <c r="B135" s="420" t="s">
        <v>348</v>
      </c>
      <c r="C135" s="420" t="s">
        <v>38</v>
      </c>
      <c r="D135" s="423">
        <v>42451.89</v>
      </c>
      <c r="E135" s="423">
        <v>72257.23</v>
      </c>
      <c r="F135" s="423">
        <v>459438.66</v>
      </c>
      <c r="G135" s="423">
        <f t="shared" si="37"/>
        <v>574147.78</v>
      </c>
      <c r="H135" s="422">
        <f t="shared" si="38"/>
        <v>-8.7185265302365283E-2</v>
      </c>
      <c r="I135" s="423">
        <f t="shared" si="39"/>
        <v>-54838.320000000065</v>
      </c>
    </row>
    <row r="136" spans="1:9" x14ac:dyDescent="0.2">
      <c r="A136" s="420" t="s">
        <v>386</v>
      </c>
      <c r="B136" s="420" t="s">
        <v>348</v>
      </c>
      <c r="C136" s="420" t="s">
        <v>39</v>
      </c>
      <c r="D136" s="423">
        <v>9731.89</v>
      </c>
      <c r="E136" s="423">
        <v>20548.97</v>
      </c>
      <c r="F136" s="423">
        <v>94914.37</v>
      </c>
      <c r="G136" s="423">
        <f t="shared" si="37"/>
        <v>125195.23</v>
      </c>
      <c r="H136" s="422">
        <f t="shared" si="38"/>
        <v>-0.19380334414356307</v>
      </c>
      <c r="I136" s="423">
        <f t="shared" si="39"/>
        <v>-30095.949999999997</v>
      </c>
    </row>
    <row r="137" spans="1:9" x14ac:dyDescent="0.2">
      <c r="A137" s="420" t="s">
        <v>386</v>
      </c>
      <c r="B137" s="420" t="s">
        <v>350</v>
      </c>
      <c r="C137" s="420" t="s">
        <v>38</v>
      </c>
      <c r="D137" s="423">
        <v>6811.17</v>
      </c>
      <c r="E137" s="423">
        <v>3494.27</v>
      </c>
      <c r="F137" s="423">
        <v>99200.04</v>
      </c>
      <c r="G137" s="423">
        <f t="shared" si="37"/>
        <v>109505.48</v>
      </c>
      <c r="H137" s="422">
        <f t="shared" si="38"/>
        <v>-2.3733761359336823E-2</v>
      </c>
      <c r="I137" s="423">
        <f t="shared" si="39"/>
        <v>-2662.1600000000035</v>
      </c>
    </row>
    <row r="138" spans="1:9" x14ac:dyDescent="0.2">
      <c r="A138" s="420" t="s">
        <v>386</v>
      </c>
      <c r="B138" s="420" t="s">
        <v>350</v>
      </c>
      <c r="C138" s="420" t="s">
        <v>39</v>
      </c>
      <c r="D138" s="423">
        <v>0</v>
      </c>
      <c r="E138" s="423">
        <v>0</v>
      </c>
      <c r="F138" s="423">
        <v>0</v>
      </c>
      <c r="G138" s="423">
        <f t="shared" si="37"/>
        <v>0</v>
      </c>
      <c r="H138" s="422">
        <f t="shared" si="38"/>
        <v>0</v>
      </c>
      <c r="I138" s="423">
        <f t="shared" si="39"/>
        <v>0</v>
      </c>
    </row>
    <row r="139" spans="1:9" x14ac:dyDescent="0.2">
      <c r="G139" s="423">
        <f>SUM(G132:G138)</f>
        <v>949431.29</v>
      </c>
      <c r="H139" s="422">
        <f t="shared" si="38"/>
        <v>-8.3589049313755007E-2</v>
      </c>
      <c r="I139" s="423">
        <f t="shared" si="39"/>
        <v>-86600.95000000007</v>
      </c>
    </row>
    <row r="141" spans="1:9" ht="15.75" x14ac:dyDescent="0.25">
      <c r="A141" s="426">
        <v>42247</v>
      </c>
      <c r="B141" s="424" t="s">
        <v>343</v>
      </c>
      <c r="C141" s="424" t="s">
        <v>33</v>
      </c>
      <c r="D141" s="424" t="s">
        <v>34</v>
      </c>
      <c r="E141" s="424" t="s">
        <v>35</v>
      </c>
      <c r="F141" s="424" t="s">
        <v>103</v>
      </c>
      <c r="G141" s="425" t="s">
        <v>9</v>
      </c>
    </row>
    <row r="142" spans="1:9" x14ac:dyDescent="0.2">
      <c r="A142" s="420" t="s">
        <v>386</v>
      </c>
      <c r="B142" s="420" t="s">
        <v>21</v>
      </c>
      <c r="C142" s="420" t="s">
        <v>38</v>
      </c>
      <c r="D142" s="423">
        <v>24838.59</v>
      </c>
      <c r="E142" s="423">
        <v>314.10000000000002</v>
      </c>
      <c r="F142" s="423">
        <v>1302.08</v>
      </c>
      <c r="G142" s="423">
        <f t="shared" ref="G142:G148" si="40">SUM(D142:F142)</f>
        <v>26454.769999999997</v>
      </c>
      <c r="H142" s="422">
        <f t="shared" ref="H142:H149" si="41">IF(G132&gt;0,(G142-G132)/G132,0)</f>
        <v>14.811639332504541</v>
      </c>
      <c r="I142" s="423">
        <f>G142-G132</f>
        <v>24781.649999999998</v>
      </c>
    </row>
    <row r="143" spans="1:9" x14ac:dyDescent="0.2">
      <c r="A143" s="420" t="s">
        <v>386</v>
      </c>
      <c r="B143" s="420" t="s">
        <v>351</v>
      </c>
      <c r="C143" s="420" t="s">
        <v>38</v>
      </c>
      <c r="D143" s="423">
        <v>0</v>
      </c>
      <c r="E143" s="423">
        <v>0</v>
      </c>
      <c r="F143" s="423">
        <v>0</v>
      </c>
      <c r="G143" s="423">
        <f t="shared" si="40"/>
        <v>0</v>
      </c>
      <c r="H143" s="422">
        <f t="shared" si="41"/>
        <v>0</v>
      </c>
      <c r="I143" s="423">
        <f t="shared" ref="I143:I149" si="42">G143-G133</f>
        <v>0</v>
      </c>
    </row>
    <row r="144" spans="1:9" x14ac:dyDescent="0.2">
      <c r="A144" s="420" t="s">
        <v>386</v>
      </c>
      <c r="B144" s="420" t="s">
        <v>345</v>
      </c>
      <c r="C144" s="420" t="s">
        <v>38</v>
      </c>
      <c r="D144" s="423">
        <v>23608.11</v>
      </c>
      <c r="E144" s="423">
        <v>7927.29</v>
      </c>
      <c r="F144" s="423">
        <v>116865.29</v>
      </c>
      <c r="G144" s="423">
        <f t="shared" si="40"/>
        <v>148400.69</v>
      </c>
      <c r="H144" s="422">
        <f t="shared" si="41"/>
        <v>6.8325044014211314E-2</v>
      </c>
      <c r="I144" s="423">
        <f t="shared" si="42"/>
        <v>9491.0100000000093</v>
      </c>
    </row>
    <row r="145" spans="1:9" x14ac:dyDescent="0.2">
      <c r="A145" s="420" t="s">
        <v>386</v>
      </c>
      <c r="B145" s="420" t="s">
        <v>348</v>
      </c>
      <c r="C145" s="420" t="s">
        <v>38</v>
      </c>
      <c r="D145" s="423">
        <v>75564.399999999994</v>
      </c>
      <c r="E145" s="423">
        <v>35791.22</v>
      </c>
      <c r="F145" s="423">
        <v>473518.8</v>
      </c>
      <c r="G145" s="423">
        <f t="shared" si="40"/>
        <v>584874.41999999993</v>
      </c>
      <c r="H145" s="422">
        <f t="shared" si="41"/>
        <v>1.8682716146703374E-2</v>
      </c>
      <c r="I145" s="423">
        <f t="shared" si="42"/>
        <v>10726.639999999898</v>
      </c>
    </row>
    <row r="146" spans="1:9" x14ac:dyDescent="0.2">
      <c r="A146" s="420" t="s">
        <v>386</v>
      </c>
      <c r="B146" s="420" t="s">
        <v>348</v>
      </c>
      <c r="C146" s="420" t="s">
        <v>39</v>
      </c>
      <c r="D146" s="423">
        <v>20305.14</v>
      </c>
      <c r="E146" s="423">
        <v>9193.2999999999993</v>
      </c>
      <c r="F146" s="423">
        <v>84591.97</v>
      </c>
      <c r="G146" s="423">
        <f t="shared" si="40"/>
        <v>114090.41</v>
      </c>
      <c r="H146" s="422">
        <f t="shared" si="41"/>
        <v>-8.8700024753339185E-2</v>
      </c>
      <c r="I146" s="423">
        <f t="shared" si="42"/>
        <v>-11104.819999999992</v>
      </c>
    </row>
    <row r="147" spans="1:9" x14ac:dyDescent="0.2">
      <c r="A147" s="420" t="s">
        <v>386</v>
      </c>
      <c r="B147" s="420" t="s">
        <v>350</v>
      </c>
      <c r="C147" s="420" t="s">
        <v>38</v>
      </c>
      <c r="D147" s="423">
        <v>30450.41</v>
      </c>
      <c r="E147" s="423">
        <v>2969.84</v>
      </c>
      <c r="F147" s="423">
        <v>91833.77</v>
      </c>
      <c r="G147" s="423">
        <f t="shared" si="40"/>
        <v>125254.02</v>
      </c>
      <c r="H147" s="422">
        <f t="shared" si="41"/>
        <v>0.14381508578383481</v>
      </c>
      <c r="I147" s="423">
        <f t="shared" si="42"/>
        <v>15748.540000000008</v>
      </c>
    </row>
    <row r="148" spans="1:9" x14ac:dyDescent="0.2">
      <c r="A148" s="420" t="s">
        <v>386</v>
      </c>
      <c r="B148" s="420" t="s">
        <v>350</v>
      </c>
      <c r="C148" s="420" t="s">
        <v>39</v>
      </c>
      <c r="D148" s="423">
        <v>0</v>
      </c>
      <c r="E148" s="423">
        <v>0</v>
      </c>
      <c r="F148" s="423">
        <v>0</v>
      </c>
      <c r="G148" s="423">
        <f t="shared" si="40"/>
        <v>0</v>
      </c>
      <c r="H148" s="422">
        <f t="shared" si="41"/>
        <v>0</v>
      </c>
      <c r="I148" s="423">
        <f t="shared" si="42"/>
        <v>0</v>
      </c>
    </row>
    <row r="149" spans="1:9" x14ac:dyDescent="0.2">
      <c r="G149" s="423">
        <f>SUM(G142:G148)</f>
        <v>999074.30999999994</v>
      </c>
      <c r="H149" s="422">
        <f t="shared" si="41"/>
        <v>5.2287111792997575E-2</v>
      </c>
      <c r="I149" s="423">
        <f t="shared" si="42"/>
        <v>49643.019999999902</v>
      </c>
    </row>
    <row r="151" spans="1:9" ht="15.75" x14ac:dyDescent="0.25">
      <c r="A151" s="426">
        <v>42277</v>
      </c>
      <c r="B151" s="424" t="s">
        <v>343</v>
      </c>
      <c r="C151" s="424" t="s">
        <v>33</v>
      </c>
      <c r="D151" s="424" t="s">
        <v>34</v>
      </c>
      <c r="E151" s="424" t="s">
        <v>35</v>
      </c>
      <c r="F151" s="424" t="s">
        <v>103</v>
      </c>
      <c r="G151" s="425" t="s">
        <v>9</v>
      </c>
    </row>
    <row r="152" spans="1:9" x14ac:dyDescent="0.2">
      <c r="A152" s="420" t="s">
        <v>386</v>
      </c>
      <c r="B152" s="420" t="s">
        <v>21</v>
      </c>
      <c r="C152" s="420" t="s">
        <v>38</v>
      </c>
      <c r="D152" s="423">
        <v>8433.2000000000007</v>
      </c>
      <c r="E152" s="423">
        <v>216.61</v>
      </c>
      <c r="F152" s="423">
        <v>376.14</v>
      </c>
      <c r="G152" s="423">
        <f t="shared" ref="G152:G158" si="43">SUM(D152:F152)</f>
        <v>9025.9500000000007</v>
      </c>
      <c r="H152" s="422">
        <f t="shared" ref="H152:H159" si="44">IF(G142&gt;0,(G152-G142)/G142,0)</f>
        <v>-0.65881578256019602</v>
      </c>
      <c r="I152" s="423">
        <f>G152-G142</f>
        <v>-17428.819999999996</v>
      </c>
    </row>
    <row r="153" spans="1:9" x14ac:dyDescent="0.2">
      <c r="A153" s="420" t="s">
        <v>386</v>
      </c>
      <c r="B153" s="420" t="s">
        <v>351</v>
      </c>
      <c r="C153" s="420" t="s">
        <v>38</v>
      </c>
      <c r="D153" s="423">
        <v>0</v>
      </c>
      <c r="E153" s="423">
        <v>0</v>
      </c>
      <c r="F153" s="423">
        <v>0</v>
      </c>
      <c r="G153" s="423">
        <f t="shared" si="43"/>
        <v>0</v>
      </c>
      <c r="H153" s="422">
        <f t="shared" si="44"/>
        <v>0</v>
      </c>
      <c r="I153" s="423">
        <f t="shared" ref="I153:I159" si="45">G153-G143</f>
        <v>0</v>
      </c>
    </row>
    <row r="154" spans="1:9" x14ac:dyDescent="0.2">
      <c r="A154" s="420" t="s">
        <v>386</v>
      </c>
      <c r="B154" s="420" t="s">
        <v>345</v>
      </c>
      <c r="C154" s="420" t="s">
        <v>38</v>
      </c>
      <c r="D154" s="423">
        <v>10190.52</v>
      </c>
      <c r="E154" s="423">
        <v>13388.96</v>
      </c>
      <c r="F154" s="423">
        <v>111182.48</v>
      </c>
      <c r="G154" s="423">
        <f t="shared" si="43"/>
        <v>134761.96</v>
      </c>
      <c r="H154" s="422">
        <f t="shared" si="44"/>
        <v>-9.1904761359263287E-2</v>
      </c>
      <c r="I154" s="423">
        <f t="shared" si="45"/>
        <v>-13638.73000000001</v>
      </c>
    </row>
    <row r="155" spans="1:9" x14ac:dyDescent="0.2">
      <c r="A155" s="420" t="s">
        <v>386</v>
      </c>
      <c r="B155" s="420" t="s">
        <v>348</v>
      </c>
      <c r="C155" s="420" t="s">
        <v>38</v>
      </c>
      <c r="D155" s="423">
        <v>58175.03</v>
      </c>
      <c r="E155" s="423">
        <v>57774.09</v>
      </c>
      <c r="F155" s="423">
        <v>457395.85</v>
      </c>
      <c r="G155" s="423">
        <f t="shared" si="43"/>
        <v>573344.97</v>
      </c>
      <c r="H155" s="422">
        <f t="shared" si="44"/>
        <v>-1.9712693196600999E-2</v>
      </c>
      <c r="I155" s="423">
        <f t="shared" si="45"/>
        <v>-11529.449999999953</v>
      </c>
    </row>
    <row r="156" spans="1:9" x14ac:dyDescent="0.2">
      <c r="A156" s="420" t="s">
        <v>386</v>
      </c>
      <c r="B156" s="420" t="s">
        <v>348</v>
      </c>
      <c r="C156" s="420" t="s">
        <v>39</v>
      </c>
      <c r="D156" s="423">
        <v>14916.09</v>
      </c>
      <c r="E156" s="423">
        <v>17061.88</v>
      </c>
      <c r="F156" s="423">
        <v>78004.88</v>
      </c>
      <c r="G156" s="423">
        <f t="shared" si="43"/>
        <v>109982.85</v>
      </c>
      <c r="H156" s="422">
        <f t="shared" si="44"/>
        <v>-3.6002675422062182E-2</v>
      </c>
      <c r="I156" s="423">
        <f t="shared" si="45"/>
        <v>-4107.5599999999977</v>
      </c>
    </row>
    <row r="157" spans="1:9" x14ac:dyDescent="0.2">
      <c r="A157" s="420" t="s">
        <v>386</v>
      </c>
      <c r="B157" s="420" t="s">
        <v>350</v>
      </c>
      <c r="C157" s="420" t="s">
        <v>38</v>
      </c>
      <c r="D157" s="423">
        <v>5492.79</v>
      </c>
      <c r="E157" s="423">
        <v>25997.71</v>
      </c>
      <c r="F157" s="423">
        <v>87041.88</v>
      </c>
      <c r="G157" s="423">
        <f t="shared" si="43"/>
        <v>118532.38</v>
      </c>
      <c r="H157" s="422">
        <f t="shared" si="44"/>
        <v>-5.3664066031573275E-2</v>
      </c>
      <c r="I157" s="423">
        <f t="shared" si="45"/>
        <v>-6721.6399999999994</v>
      </c>
    </row>
    <row r="158" spans="1:9" x14ac:dyDescent="0.2">
      <c r="A158" s="420" t="s">
        <v>386</v>
      </c>
      <c r="B158" s="420" t="s">
        <v>350</v>
      </c>
      <c r="C158" s="420" t="s">
        <v>39</v>
      </c>
      <c r="D158" s="423">
        <v>0</v>
      </c>
      <c r="E158" s="423">
        <v>0</v>
      </c>
      <c r="F158" s="423">
        <v>0</v>
      </c>
      <c r="G158" s="423">
        <f t="shared" si="43"/>
        <v>0</v>
      </c>
      <c r="H158" s="422">
        <f t="shared" si="44"/>
        <v>0</v>
      </c>
      <c r="I158" s="423">
        <f t="shared" si="45"/>
        <v>0</v>
      </c>
    </row>
    <row r="159" spans="1:9" x14ac:dyDescent="0.2">
      <c r="G159" s="423">
        <f>SUM(G152:G158)</f>
        <v>945648.11</v>
      </c>
      <c r="H159" s="422">
        <f t="shared" si="44"/>
        <v>-5.3475701922512608E-2</v>
      </c>
      <c r="I159" s="423">
        <f t="shared" si="45"/>
        <v>-53426.199999999953</v>
      </c>
    </row>
    <row r="161" spans="1:9" ht="15.75" x14ac:dyDescent="0.25">
      <c r="A161" s="426">
        <v>42308</v>
      </c>
      <c r="B161" s="424" t="s">
        <v>343</v>
      </c>
      <c r="C161" s="424" t="s">
        <v>33</v>
      </c>
      <c r="D161" s="424" t="s">
        <v>34</v>
      </c>
      <c r="E161" s="424" t="s">
        <v>35</v>
      </c>
      <c r="F161" s="424" t="s">
        <v>103</v>
      </c>
      <c r="G161" s="425" t="s">
        <v>9</v>
      </c>
    </row>
    <row r="162" spans="1:9" x14ac:dyDescent="0.2">
      <c r="A162" s="420" t="s">
        <v>386</v>
      </c>
      <c r="B162" s="420" t="s">
        <v>21</v>
      </c>
      <c r="C162" s="420" t="s">
        <v>38</v>
      </c>
      <c r="D162" s="423">
        <v>318.22000000000003</v>
      </c>
      <c r="E162" s="423">
        <v>8330.7800000000007</v>
      </c>
      <c r="F162" s="423">
        <v>386.05</v>
      </c>
      <c r="G162" s="423">
        <f t="shared" ref="G162:G168" si="46">SUM(D162:F162)</f>
        <v>9035.0499999999993</v>
      </c>
      <c r="H162" s="422">
        <f t="shared" ref="H162:H169" si="47">IF(G152&gt;0,(G162-G152)/G152,0)</f>
        <v>1.0082041225575749E-3</v>
      </c>
      <c r="I162" s="423">
        <f>G162-G152</f>
        <v>9.0999999999985448</v>
      </c>
    </row>
    <row r="163" spans="1:9" x14ac:dyDescent="0.2">
      <c r="A163" s="420" t="s">
        <v>386</v>
      </c>
      <c r="B163" s="420" t="s">
        <v>351</v>
      </c>
      <c r="C163" s="420" t="s">
        <v>38</v>
      </c>
      <c r="D163" s="423">
        <v>0</v>
      </c>
      <c r="E163" s="423">
        <v>0</v>
      </c>
      <c r="F163" s="423">
        <v>0</v>
      </c>
      <c r="G163" s="423">
        <f t="shared" si="46"/>
        <v>0</v>
      </c>
      <c r="H163" s="422">
        <f t="shared" si="47"/>
        <v>0</v>
      </c>
      <c r="I163" s="423">
        <f t="shared" ref="I163:I169" si="48">G163-G153</f>
        <v>0</v>
      </c>
    </row>
    <row r="164" spans="1:9" x14ac:dyDescent="0.2">
      <c r="A164" s="420" t="s">
        <v>386</v>
      </c>
      <c r="B164" s="420" t="s">
        <v>345</v>
      </c>
      <c r="C164" s="420" t="s">
        <v>38</v>
      </c>
      <c r="D164" s="423">
        <v>4501.72</v>
      </c>
      <c r="E164" s="423">
        <v>8805.17</v>
      </c>
      <c r="F164" s="423">
        <v>115400.24</v>
      </c>
      <c r="G164" s="423">
        <f t="shared" si="46"/>
        <v>128707.13</v>
      </c>
      <c r="H164" s="422">
        <f t="shared" si="47"/>
        <v>-4.4929815505799914E-2</v>
      </c>
      <c r="I164" s="423">
        <f t="shared" si="48"/>
        <v>-6054.8299999999872</v>
      </c>
    </row>
    <row r="165" spans="1:9" x14ac:dyDescent="0.2">
      <c r="A165" s="420" t="s">
        <v>386</v>
      </c>
      <c r="B165" s="420" t="s">
        <v>348</v>
      </c>
      <c r="C165" s="420" t="s">
        <v>38</v>
      </c>
      <c r="D165" s="423">
        <v>35163.33</v>
      </c>
      <c r="E165" s="423">
        <v>44736.98</v>
      </c>
      <c r="F165" s="423">
        <v>476178.6</v>
      </c>
      <c r="G165" s="423">
        <f t="shared" si="46"/>
        <v>556078.90999999992</v>
      </c>
      <c r="H165" s="422">
        <f t="shared" si="47"/>
        <v>-3.0114609708706535E-2</v>
      </c>
      <c r="I165" s="423">
        <f t="shared" si="48"/>
        <v>-17266.060000000056</v>
      </c>
    </row>
    <row r="166" spans="1:9" x14ac:dyDescent="0.2">
      <c r="A166" s="420" t="s">
        <v>386</v>
      </c>
      <c r="B166" s="420" t="s">
        <v>348</v>
      </c>
      <c r="C166" s="420" t="s">
        <v>39</v>
      </c>
      <c r="D166" s="423">
        <v>9365.24</v>
      </c>
      <c r="E166" s="423">
        <v>11261.55</v>
      </c>
      <c r="F166" s="423">
        <v>83957.440000000002</v>
      </c>
      <c r="G166" s="423">
        <f t="shared" si="46"/>
        <v>104584.23000000001</v>
      </c>
      <c r="H166" s="422">
        <f t="shared" si="47"/>
        <v>-4.9086016592586892E-2</v>
      </c>
      <c r="I166" s="423">
        <f t="shared" si="48"/>
        <v>-5398.6199999999953</v>
      </c>
    </row>
    <row r="167" spans="1:9" x14ac:dyDescent="0.2">
      <c r="A167" s="420" t="s">
        <v>386</v>
      </c>
      <c r="B167" s="420" t="s">
        <v>350</v>
      </c>
      <c r="C167" s="420" t="s">
        <v>38</v>
      </c>
      <c r="D167" s="423">
        <v>60.72</v>
      </c>
      <c r="E167" s="423">
        <v>5206.68</v>
      </c>
      <c r="F167" s="423">
        <v>102729.51</v>
      </c>
      <c r="G167" s="423">
        <f t="shared" si="46"/>
        <v>107996.90999999999</v>
      </c>
      <c r="H167" s="422">
        <f t="shared" si="47"/>
        <v>-8.8882632745584084E-2</v>
      </c>
      <c r="I167" s="423">
        <f t="shared" si="48"/>
        <v>-10535.470000000016</v>
      </c>
    </row>
    <row r="168" spans="1:9" x14ac:dyDescent="0.2">
      <c r="A168" s="420" t="s">
        <v>386</v>
      </c>
      <c r="B168" s="420" t="s">
        <v>350</v>
      </c>
      <c r="C168" s="420" t="s">
        <v>39</v>
      </c>
      <c r="D168" s="423">
        <v>0</v>
      </c>
      <c r="E168" s="423">
        <v>0</v>
      </c>
      <c r="F168" s="423">
        <v>0</v>
      </c>
      <c r="G168" s="423">
        <f t="shared" si="46"/>
        <v>0</v>
      </c>
      <c r="H168" s="422">
        <f t="shared" si="47"/>
        <v>0</v>
      </c>
      <c r="I168" s="423">
        <f t="shared" si="48"/>
        <v>0</v>
      </c>
    </row>
    <row r="169" spans="1:9" x14ac:dyDescent="0.2">
      <c r="G169" s="423">
        <f>SUM(G162:G168)</f>
        <v>906402.22999999986</v>
      </c>
      <c r="H169" s="422">
        <f t="shared" si="47"/>
        <v>-4.1501568696626613E-2</v>
      </c>
      <c r="I169" s="423">
        <f t="shared" si="48"/>
        <v>-39245.880000000121</v>
      </c>
    </row>
    <row r="171" spans="1:9" ht="15.75" x14ac:dyDescent="0.25">
      <c r="A171" s="426">
        <v>42338</v>
      </c>
      <c r="B171" s="424" t="s">
        <v>343</v>
      </c>
      <c r="C171" s="424" t="s">
        <v>33</v>
      </c>
      <c r="D171" s="424" t="s">
        <v>34</v>
      </c>
      <c r="E171" s="424" t="s">
        <v>35</v>
      </c>
      <c r="F171" s="424" t="s">
        <v>103</v>
      </c>
      <c r="G171" s="425" t="s">
        <v>9</v>
      </c>
    </row>
    <row r="172" spans="1:9" x14ac:dyDescent="0.2">
      <c r="A172" s="420" t="s">
        <v>386</v>
      </c>
      <c r="B172" s="420" t="s">
        <v>21</v>
      </c>
      <c r="C172" s="420" t="s">
        <v>38</v>
      </c>
      <c r="D172" s="423">
        <v>10091.67</v>
      </c>
      <c r="E172" s="423">
        <v>216.54</v>
      </c>
      <c r="F172" s="423">
        <v>8001.83</v>
      </c>
      <c r="G172" s="423">
        <f t="shared" ref="G172:G178" si="49">SUM(D172:F172)</f>
        <v>18310.04</v>
      </c>
      <c r="H172" s="422">
        <f t="shared" ref="H172:H179" si="50">IF(G162&gt;0,(G172-G162)/G162,0)</f>
        <v>1.0265565768866804</v>
      </c>
      <c r="I172" s="423">
        <f>G172-G162</f>
        <v>9274.9900000000016</v>
      </c>
    </row>
    <row r="173" spans="1:9" x14ac:dyDescent="0.2">
      <c r="A173" s="420" t="s">
        <v>386</v>
      </c>
      <c r="B173" s="420" t="s">
        <v>351</v>
      </c>
      <c r="C173" s="420" t="s">
        <v>38</v>
      </c>
      <c r="D173" s="423">
        <v>0</v>
      </c>
      <c r="E173" s="423">
        <v>0</v>
      </c>
      <c r="F173" s="423">
        <v>0</v>
      </c>
      <c r="G173" s="423">
        <f t="shared" si="49"/>
        <v>0</v>
      </c>
      <c r="H173" s="422">
        <f t="shared" si="50"/>
        <v>0</v>
      </c>
      <c r="I173" s="423">
        <f t="shared" ref="I173:I179" si="51">G173-G163</f>
        <v>0</v>
      </c>
    </row>
    <row r="174" spans="1:9" x14ac:dyDescent="0.2">
      <c r="A174" s="420" t="s">
        <v>386</v>
      </c>
      <c r="B174" s="420" t="s">
        <v>345</v>
      </c>
      <c r="C174" s="420" t="s">
        <v>38</v>
      </c>
      <c r="D174" s="423">
        <v>12351.39</v>
      </c>
      <c r="E174" s="423">
        <v>3909.12</v>
      </c>
      <c r="F174" s="423">
        <v>119648.07</v>
      </c>
      <c r="G174" s="423">
        <f t="shared" si="49"/>
        <v>135908.58000000002</v>
      </c>
      <c r="H174" s="422">
        <f t="shared" si="50"/>
        <v>5.5952222693490337E-2</v>
      </c>
      <c r="I174" s="423">
        <f t="shared" si="51"/>
        <v>7201.4500000000116</v>
      </c>
    </row>
    <row r="175" spans="1:9" x14ac:dyDescent="0.2">
      <c r="A175" s="420" t="s">
        <v>386</v>
      </c>
      <c r="B175" s="420" t="s">
        <v>348</v>
      </c>
      <c r="C175" s="420" t="s">
        <v>38</v>
      </c>
      <c r="D175" s="423">
        <v>74680.009999999995</v>
      </c>
      <c r="E175" s="423">
        <v>28469.7</v>
      </c>
      <c r="F175" s="423">
        <v>482297.16</v>
      </c>
      <c r="G175" s="423">
        <f t="shared" si="49"/>
        <v>585446.87</v>
      </c>
      <c r="H175" s="422">
        <f t="shared" si="50"/>
        <v>5.2812576546015892E-2</v>
      </c>
      <c r="I175" s="423">
        <f t="shared" si="51"/>
        <v>29367.960000000079</v>
      </c>
    </row>
    <row r="176" spans="1:9" x14ac:dyDescent="0.2">
      <c r="A176" s="420" t="s">
        <v>386</v>
      </c>
      <c r="B176" s="420" t="s">
        <v>348</v>
      </c>
      <c r="C176" s="420" t="s">
        <v>39</v>
      </c>
      <c r="D176" s="423">
        <v>22110.37</v>
      </c>
      <c r="E176" s="423">
        <v>7113.86</v>
      </c>
      <c r="F176" s="423">
        <v>84695.94</v>
      </c>
      <c r="G176" s="423">
        <f t="shared" si="49"/>
        <v>113920.17</v>
      </c>
      <c r="H176" s="422">
        <f t="shared" si="50"/>
        <v>8.9267186840692778E-2</v>
      </c>
      <c r="I176" s="423">
        <f t="shared" si="51"/>
        <v>9335.9399999999878</v>
      </c>
    </row>
    <row r="177" spans="1:9" x14ac:dyDescent="0.2">
      <c r="A177" s="420" t="s">
        <v>386</v>
      </c>
      <c r="B177" s="420" t="s">
        <v>350</v>
      </c>
      <c r="C177" s="420" t="s">
        <v>38</v>
      </c>
      <c r="D177" s="423">
        <v>38596.019999999997</v>
      </c>
      <c r="E177" s="423">
        <v>60.72</v>
      </c>
      <c r="F177" s="423">
        <v>101153.61</v>
      </c>
      <c r="G177" s="423">
        <f t="shared" si="49"/>
        <v>139810.35</v>
      </c>
      <c r="H177" s="422">
        <f t="shared" si="50"/>
        <v>0.2945773170732387</v>
      </c>
      <c r="I177" s="423">
        <f t="shared" si="51"/>
        <v>31813.440000000017</v>
      </c>
    </row>
    <row r="178" spans="1:9" x14ac:dyDescent="0.2">
      <c r="A178" s="420" t="s">
        <v>386</v>
      </c>
      <c r="B178" s="420" t="s">
        <v>350</v>
      </c>
      <c r="C178" s="420" t="s">
        <v>39</v>
      </c>
      <c r="D178" s="423">
        <v>0</v>
      </c>
      <c r="E178" s="423">
        <v>0</v>
      </c>
      <c r="F178" s="423">
        <v>0</v>
      </c>
      <c r="G178" s="423">
        <f t="shared" si="49"/>
        <v>0</v>
      </c>
      <c r="H178" s="422">
        <f t="shared" si="50"/>
        <v>0</v>
      </c>
      <c r="I178" s="423">
        <f t="shared" si="51"/>
        <v>0</v>
      </c>
    </row>
    <row r="179" spans="1:9" x14ac:dyDescent="0.2">
      <c r="G179" s="423">
        <f>SUM(G172:G178)</f>
        <v>993396.01</v>
      </c>
      <c r="H179" s="422">
        <f t="shared" si="50"/>
        <v>9.5977014531396468E-2</v>
      </c>
      <c r="I179" s="423">
        <f t="shared" si="51"/>
        <v>86993.780000000144</v>
      </c>
    </row>
    <row r="181" spans="1:9" ht="15.75" x14ac:dyDescent="0.25">
      <c r="A181" s="426">
        <v>42369</v>
      </c>
      <c r="B181" s="424" t="s">
        <v>343</v>
      </c>
      <c r="C181" s="424" t="s">
        <v>33</v>
      </c>
      <c r="D181" s="424" t="s">
        <v>34</v>
      </c>
      <c r="E181" s="424" t="s">
        <v>35</v>
      </c>
      <c r="F181" s="424" t="s">
        <v>103</v>
      </c>
      <c r="G181" s="425" t="s">
        <v>9</v>
      </c>
    </row>
    <row r="182" spans="1:9" x14ac:dyDescent="0.2">
      <c r="A182" s="420" t="s">
        <v>386</v>
      </c>
      <c r="B182" s="420" t="s">
        <v>21</v>
      </c>
      <c r="C182" s="420" t="s">
        <v>38</v>
      </c>
      <c r="D182" s="423">
        <v>5873.66</v>
      </c>
      <c r="E182" s="423">
        <v>9717.15</v>
      </c>
      <c r="F182" s="423">
        <v>788.17</v>
      </c>
      <c r="G182" s="423">
        <f t="shared" ref="G182:G188" si="52">SUM(D182:F182)</f>
        <v>16378.98</v>
      </c>
      <c r="H182" s="422">
        <f t="shared" ref="H182:H189" si="53">IF(G172&gt;0,(G182-G172)/G172,0)</f>
        <v>-0.10546454295020662</v>
      </c>
      <c r="I182" s="423">
        <f>G182-G172</f>
        <v>-1931.0600000000013</v>
      </c>
    </row>
    <row r="183" spans="1:9" x14ac:dyDescent="0.2">
      <c r="A183" s="420" t="s">
        <v>386</v>
      </c>
      <c r="B183" s="420" t="s">
        <v>351</v>
      </c>
      <c r="C183" s="420" t="s">
        <v>38</v>
      </c>
      <c r="D183" s="423">
        <v>0</v>
      </c>
      <c r="E183" s="423">
        <v>0</v>
      </c>
      <c r="F183" s="423">
        <v>0</v>
      </c>
      <c r="G183" s="423">
        <f t="shared" si="52"/>
        <v>0</v>
      </c>
      <c r="H183" s="422">
        <f t="shared" si="53"/>
        <v>0</v>
      </c>
      <c r="I183" s="423">
        <f t="shared" ref="I183:I189" si="54">G183-G173</f>
        <v>0</v>
      </c>
    </row>
    <row r="184" spans="1:9" x14ac:dyDescent="0.2">
      <c r="A184" s="420" t="s">
        <v>386</v>
      </c>
      <c r="B184" s="420" t="s">
        <v>345</v>
      </c>
      <c r="C184" s="420" t="s">
        <v>38</v>
      </c>
      <c r="D184" s="423">
        <v>4666.45</v>
      </c>
      <c r="E184" s="423">
        <v>8480.92</v>
      </c>
      <c r="F184" s="423">
        <v>120009.29</v>
      </c>
      <c r="G184" s="423">
        <f t="shared" si="52"/>
        <v>133156.66</v>
      </c>
      <c r="H184" s="422">
        <f t="shared" si="53"/>
        <v>-2.0248316920094468E-2</v>
      </c>
      <c r="I184" s="423">
        <f t="shared" si="54"/>
        <v>-2751.9200000000128</v>
      </c>
    </row>
    <row r="185" spans="1:9" x14ac:dyDescent="0.2">
      <c r="A185" s="420" t="s">
        <v>386</v>
      </c>
      <c r="B185" s="420" t="s">
        <v>348</v>
      </c>
      <c r="C185" s="420" t="s">
        <v>38</v>
      </c>
      <c r="D185" s="423">
        <v>46902.96</v>
      </c>
      <c r="E185" s="423">
        <v>52722.82</v>
      </c>
      <c r="F185" s="423">
        <v>473397.31</v>
      </c>
      <c r="G185" s="423">
        <f t="shared" si="52"/>
        <v>573023.09</v>
      </c>
      <c r="H185" s="422">
        <f t="shared" si="53"/>
        <v>-2.1221020448875281E-2</v>
      </c>
      <c r="I185" s="423">
        <f t="shared" si="54"/>
        <v>-12423.780000000028</v>
      </c>
    </row>
    <row r="186" spans="1:9" x14ac:dyDescent="0.2">
      <c r="A186" s="420" t="s">
        <v>386</v>
      </c>
      <c r="B186" s="420" t="s">
        <v>348</v>
      </c>
      <c r="C186" s="420" t="s">
        <v>39</v>
      </c>
      <c r="D186" s="423">
        <v>14381.39</v>
      </c>
      <c r="E186" s="423">
        <v>19421.28</v>
      </c>
      <c r="F186" s="423">
        <v>81286.350000000006</v>
      </c>
      <c r="G186" s="423">
        <f t="shared" si="52"/>
        <v>115089.02</v>
      </c>
      <c r="H186" s="422">
        <f t="shared" si="53"/>
        <v>1.0260255054043597E-2</v>
      </c>
      <c r="I186" s="423">
        <f t="shared" si="54"/>
        <v>1168.8500000000058</v>
      </c>
    </row>
    <row r="187" spans="1:9" x14ac:dyDescent="0.2">
      <c r="A187" s="420" t="s">
        <v>386</v>
      </c>
      <c r="B187" s="420" t="s">
        <v>350</v>
      </c>
      <c r="C187" s="420" t="s">
        <v>38</v>
      </c>
      <c r="D187" s="423">
        <v>1860.9</v>
      </c>
      <c r="E187" s="423">
        <v>30960.99</v>
      </c>
      <c r="F187" s="423">
        <v>91455.679999999993</v>
      </c>
      <c r="G187" s="423">
        <f t="shared" si="52"/>
        <v>124277.56999999999</v>
      </c>
      <c r="H187" s="422">
        <f t="shared" si="53"/>
        <v>-0.11109892794059963</v>
      </c>
      <c r="I187" s="423">
        <f t="shared" si="54"/>
        <v>-15532.780000000013</v>
      </c>
    </row>
    <row r="188" spans="1:9" x14ac:dyDescent="0.2">
      <c r="A188" s="420" t="s">
        <v>386</v>
      </c>
      <c r="B188" s="420" t="s">
        <v>350</v>
      </c>
      <c r="C188" s="420" t="s">
        <v>39</v>
      </c>
      <c r="D188" s="423">
        <v>0</v>
      </c>
      <c r="E188" s="423">
        <v>0</v>
      </c>
      <c r="F188" s="423">
        <v>0</v>
      </c>
      <c r="G188" s="423">
        <f t="shared" si="52"/>
        <v>0</v>
      </c>
      <c r="H188" s="422">
        <f t="shared" si="53"/>
        <v>0</v>
      </c>
      <c r="I188" s="423">
        <f t="shared" si="54"/>
        <v>0</v>
      </c>
    </row>
    <row r="189" spans="1:9" x14ac:dyDescent="0.2">
      <c r="G189" s="423">
        <f>SUM(G182:G188)</f>
        <v>961925.32</v>
      </c>
      <c r="H189" s="422">
        <f t="shared" si="53"/>
        <v>-3.1679903767682802E-2</v>
      </c>
      <c r="I189" s="423">
        <f t="shared" si="54"/>
        <v>-31470.690000000061</v>
      </c>
    </row>
    <row r="191" spans="1:9" ht="15.75" x14ac:dyDescent="0.25">
      <c r="A191" s="426">
        <v>42400</v>
      </c>
      <c r="B191" s="424" t="s">
        <v>343</v>
      </c>
      <c r="C191" s="424" t="s">
        <v>33</v>
      </c>
      <c r="D191" s="424" t="s">
        <v>34</v>
      </c>
      <c r="E191" s="424" t="s">
        <v>35</v>
      </c>
      <c r="F191" s="424" t="s">
        <v>103</v>
      </c>
      <c r="G191" s="425" t="s">
        <v>9</v>
      </c>
    </row>
    <row r="192" spans="1:9" x14ac:dyDescent="0.2">
      <c r="A192" s="420" t="s">
        <v>386</v>
      </c>
      <c r="B192" s="420" t="s">
        <v>21</v>
      </c>
      <c r="C192" s="420" t="s">
        <v>38</v>
      </c>
      <c r="D192" s="423">
        <v>222.79</v>
      </c>
      <c r="E192" s="423">
        <v>4900</v>
      </c>
      <c r="F192" s="423">
        <v>10182.030000000001</v>
      </c>
      <c r="G192" s="423">
        <f t="shared" ref="G192:G198" si="55">SUM(D192:F192)</f>
        <v>15304.82</v>
      </c>
      <c r="H192" s="422">
        <f t="shared" ref="H192:H199" si="56">IF(G182&gt;0,(G192-G182)/G182,0)</f>
        <v>-6.5581617414515431E-2</v>
      </c>
      <c r="I192" s="423">
        <f>G192-G182</f>
        <v>-1074.1599999999999</v>
      </c>
    </row>
    <row r="193" spans="1:9" x14ac:dyDescent="0.2">
      <c r="A193" s="420" t="s">
        <v>386</v>
      </c>
      <c r="B193" s="420" t="s">
        <v>351</v>
      </c>
      <c r="C193" s="420" t="s">
        <v>38</v>
      </c>
      <c r="D193" s="423">
        <v>0</v>
      </c>
      <c r="E193" s="423">
        <v>0</v>
      </c>
      <c r="F193" s="423">
        <v>0</v>
      </c>
      <c r="G193" s="423">
        <f t="shared" si="55"/>
        <v>0</v>
      </c>
      <c r="H193" s="422">
        <f t="shared" si="56"/>
        <v>0</v>
      </c>
      <c r="I193" s="423">
        <f t="shared" ref="I193:I199" si="57">G193-G183</f>
        <v>0</v>
      </c>
    </row>
    <row r="194" spans="1:9" x14ac:dyDescent="0.2">
      <c r="A194" s="420" t="s">
        <v>386</v>
      </c>
      <c r="B194" s="420" t="s">
        <v>345</v>
      </c>
      <c r="C194" s="420" t="s">
        <v>38</v>
      </c>
      <c r="D194" s="423">
        <v>13241.78</v>
      </c>
      <c r="E194" s="423">
        <v>4481.58</v>
      </c>
      <c r="F194" s="423">
        <v>124463.63</v>
      </c>
      <c r="G194" s="423">
        <f t="shared" si="55"/>
        <v>142186.99</v>
      </c>
      <c r="H194" s="422">
        <f t="shared" si="56"/>
        <v>6.7817336361545771E-2</v>
      </c>
      <c r="I194" s="423">
        <f t="shared" si="57"/>
        <v>9030.3299999999872</v>
      </c>
    </row>
    <row r="195" spans="1:9" x14ac:dyDescent="0.2">
      <c r="A195" s="420" t="s">
        <v>386</v>
      </c>
      <c r="B195" s="420" t="s">
        <v>348</v>
      </c>
      <c r="C195" s="420" t="s">
        <v>38</v>
      </c>
      <c r="D195" s="423">
        <v>53000.38</v>
      </c>
      <c r="E195" s="423">
        <v>40850.800000000003</v>
      </c>
      <c r="F195" s="423">
        <v>489031.67</v>
      </c>
      <c r="G195" s="423">
        <f t="shared" si="55"/>
        <v>582882.85</v>
      </c>
      <c r="H195" s="422">
        <f t="shared" si="56"/>
        <v>1.720656666732227E-2</v>
      </c>
      <c r="I195" s="423">
        <f t="shared" si="57"/>
        <v>9859.7600000000093</v>
      </c>
    </row>
    <row r="196" spans="1:9" x14ac:dyDescent="0.2">
      <c r="A196" s="420" t="s">
        <v>386</v>
      </c>
      <c r="B196" s="420" t="s">
        <v>348</v>
      </c>
      <c r="C196" s="420" t="s">
        <v>39</v>
      </c>
      <c r="D196" s="423">
        <v>11459.07</v>
      </c>
      <c r="E196" s="423">
        <v>11898.39</v>
      </c>
      <c r="F196" s="423">
        <v>89448.8</v>
      </c>
      <c r="G196" s="423">
        <f t="shared" si="55"/>
        <v>112806.26000000001</v>
      </c>
      <c r="H196" s="422">
        <f t="shared" si="56"/>
        <v>-1.98347331483055E-2</v>
      </c>
      <c r="I196" s="423">
        <f t="shared" si="57"/>
        <v>-2282.7599999999948</v>
      </c>
    </row>
    <row r="197" spans="1:9" x14ac:dyDescent="0.2">
      <c r="A197" s="420" t="s">
        <v>386</v>
      </c>
      <c r="B197" s="420" t="s">
        <v>350</v>
      </c>
      <c r="C197" s="420" t="s">
        <v>38</v>
      </c>
      <c r="D197" s="423">
        <v>2485.25</v>
      </c>
      <c r="E197" s="423">
        <v>1492.76</v>
      </c>
      <c r="F197" s="423">
        <v>111974</v>
      </c>
      <c r="G197" s="423">
        <f t="shared" si="55"/>
        <v>115952.01</v>
      </c>
      <c r="H197" s="422">
        <f t="shared" si="56"/>
        <v>-6.6991654246216739E-2</v>
      </c>
      <c r="I197" s="423">
        <f t="shared" si="57"/>
        <v>-8325.5599999999977</v>
      </c>
    </row>
    <row r="198" spans="1:9" x14ac:dyDescent="0.2">
      <c r="A198" s="420" t="s">
        <v>386</v>
      </c>
      <c r="B198" s="420" t="s">
        <v>350</v>
      </c>
      <c r="C198" s="420" t="s">
        <v>39</v>
      </c>
      <c r="D198" s="423">
        <v>0</v>
      </c>
      <c r="E198" s="423">
        <v>0</v>
      </c>
      <c r="F198" s="423">
        <v>0</v>
      </c>
      <c r="G198" s="423">
        <f t="shared" si="55"/>
        <v>0</v>
      </c>
      <c r="H198" s="422">
        <f t="shared" si="56"/>
        <v>0</v>
      </c>
      <c r="I198" s="423">
        <f t="shared" si="57"/>
        <v>0</v>
      </c>
    </row>
    <row r="199" spans="1:9" x14ac:dyDescent="0.2">
      <c r="G199" s="423">
        <f>SUM(G192:G198)</f>
        <v>969132.92999999993</v>
      </c>
      <c r="H199" s="422">
        <f t="shared" si="56"/>
        <v>7.4928997606591606E-3</v>
      </c>
      <c r="I199" s="423">
        <f t="shared" si="57"/>
        <v>7207.609999999986</v>
      </c>
    </row>
    <row r="201" spans="1:9" ht="15.75" x14ac:dyDescent="0.25">
      <c r="A201" s="426">
        <v>42429</v>
      </c>
      <c r="B201" s="424" t="s">
        <v>343</v>
      </c>
      <c r="C201" s="424" t="s">
        <v>33</v>
      </c>
      <c r="D201" s="424" t="s">
        <v>34</v>
      </c>
      <c r="E201" s="424" t="s">
        <v>35</v>
      </c>
      <c r="F201" s="424" t="s">
        <v>103</v>
      </c>
      <c r="G201" s="425" t="s">
        <v>9</v>
      </c>
    </row>
    <row r="202" spans="1:9" x14ac:dyDescent="0.2">
      <c r="A202" s="420" t="s">
        <v>386</v>
      </c>
      <c r="B202" s="420" t="s">
        <v>21</v>
      </c>
      <c r="C202" s="420" t="s">
        <v>38</v>
      </c>
      <c r="D202" s="423">
        <v>0</v>
      </c>
      <c r="E202" s="423">
        <v>202.23</v>
      </c>
      <c r="F202" s="423">
        <v>5191.66</v>
      </c>
      <c r="G202" s="423">
        <f t="shared" ref="G202:G208" si="58">SUM(D202:F202)</f>
        <v>5393.8899999999994</v>
      </c>
      <c r="H202" s="422">
        <f t="shared" ref="H202:H209" si="59">IF(G192&gt;0,(G202-G192)/G192,0)</f>
        <v>-0.64756919715488326</v>
      </c>
      <c r="I202" s="423">
        <f>G202-G192</f>
        <v>-9910.93</v>
      </c>
    </row>
    <row r="203" spans="1:9" x14ac:dyDescent="0.2">
      <c r="A203" s="420" t="s">
        <v>386</v>
      </c>
      <c r="B203" s="420" t="s">
        <v>351</v>
      </c>
      <c r="C203" s="420" t="s">
        <v>38</v>
      </c>
      <c r="D203" s="423">
        <v>0</v>
      </c>
      <c r="E203" s="423">
        <v>0</v>
      </c>
      <c r="F203" s="423">
        <v>0</v>
      </c>
      <c r="G203" s="423">
        <f t="shared" si="58"/>
        <v>0</v>
      </c>
      <c r="H203" s="422">
        <f t="shared" si="59"/>
        <v>0</v>
      </c>
      <c r="I203" s="423">
        <f t="shared" ref="I203:I209" si="60">G203-G193</f>
        <v>0</v>
      </c>
    </row>
    <row r="204" spans="1:9" x14ac:dyDescent="0.2">
      <c r="A204" s="420" t="s">
        <v>386</v>
      </c>
      <c r="B204" s="420" t="s">
        <v>345</v>
      </c>
      <c r="C204" s="420" t="s">
        <v>38</v>
      </c>
      <c r="D204" s="423">
        <v>15525.23</v>
      </c>
      <c r="E204" s="423">
        <v>7498.08</v>
      </c>
      <c r="F204" s="423">
        <v>124137.21</v>
      </c>
      <c r="G204" s="423">
        <f t="shared" si="58"/>
        <v>147160.52000000002</v>
      </c>
      <c r="H204" s="422">
        <f t="shared" si="59"/>
        <v>3.4978797989886616E-2</v>
      </c>
      <c r="I204" s="423">
        <f t="shared" si="60"/>
        <v>4973.5300000000279</v>
      </c>
    </row>
    <row r="205" spans="1:9" x14ac:dyDescent="0.2">
      <c r="A205" s="420" t="s">
        <v>386</v>
      </c>
      <c r="B205" s="420" t="s">
        <v>348</v>
      </c>
      <c r="C205" s="420" t="s">
        <v>38</v>
      </c>
      <c r="D205" s="423">
        <v>80986.05</v>
      </c>
      <c r="E205" s="423">
        <v>36065.99</v>
      </c>
      <c r="F205" s="423">
        <v>492949.35</v>
      </c>
      <c r="G205" s="423">
        <f t="shared" si="58"/>
        <v>610001.39</v>
      </c>
      <c r="H205" s="422">
        <f t="shared" si="59"/>
        <v>4.6524854865776268E-2</v>
      </c>
      <c r="I205" s="423">
        <f t="shared" si="60"/>
        <v>27118.540000000037</v>
      </c>
    </row>
    <row r="206" spans="1:9" x14ac:dyDescent="0.2">
      <c r="A206" s="420" t="s">
        <v>386</v>
      </c>
      <c r="B206" s="420" t="s">
        <v>348</v>
      </c>
      <c r="C206" s="420" t="s">
        <v>39</v>
      </c>
      <c r="D206" s="423">
        <v>32769.339999999997</v>
      </c>
      <c r="E206" s="423">
        <v>7760.87</v>
      </c>
      <c r="F206" s="423">
        <v>82183.33</v>
      </c>
      <c r="G206" s="423">
        <f t="shared" si="58"/>
        <v>122713.54000000001</v>
      </c>
      <c r="H206" s="422">
        <f t="shared" si="59"/>
        <v>8.7825622443293463E-2</v>
      </c>
      <c r="I206" s="423">
        <f t="shared" si="60"/>
        <v>9907.2799999999988</v>
      </c>
    </row>
    <row r="207" spans="1:9" x14ac:dyDescent="0.2">
      <c r="A207" s="420" t="s">
        <v>386</v>
      </c>
      <c r="B207" s="420" t="s">
        <v>350</v>
      </c>
      <c r="C207" s="420" t="s">
        <v>38</v>
      </c>
      <c r="D207" s="423">
        <v>11773.88</v>
      </c>
      <c r="E207" s="423">
        <v>1231.6099999999999</v>
      </c>
      <c r="F207" s="423">
        <v>95618.61</v>
      </c>
      <c r="G207" s="423">
        <f t="shared" si="58"/>
        <v>108624.1</v>
      </c>
      <c r="H207" s="422">
        <f t="shared" si="59"/>
        <v>-6.3197783289828169E-2</v>
      </c>
      <c r="I207" s="423">
        <f t="shared" si="60"/>
        <v>-7327.9099999999889</v>
      </c>
    </row>
    <row r="208" spans="1:9" x14ac:dyDescent="0.2">
      <c r="A208" s="420" t="s">
        <v>386</v>
      </c>
      <c r="B208" s="420" t="s">
        <v>350</v>
      </c>
      <c r="C208" s="420" t="s">
        <v>39</v>
      </c>
      <c r="D208" s="423">
        <v>0</v>
      </c>
      <c r="E208" s="423">
        <v>0</v>
      </c>
      <c r="F208" s="423">
        <v>0</v>
      </c>
      <c r="G208" s="423">
        <f t="shared" si="58"/>
        <v>0</v>
      </c>
      <c r="H208" s="422">
        <f t="shared" si="59"/>
        <v>0</v>
      </c>
      <c r="I208" s="423">
        <f t="shared" si="60"/>
        <v>0</v>
      </c>
    </row>
    <row r="209" spans="1:9" x14ac:dyDescent="0.2">
      <c r="G209" s="423">
        <f>SUM(G202:G208)</f>
        <v>993893.44000000006</v>
      </c>
      <c r="H209" s="422">
        <f t="shared" si="59"/>
        <v>2.5549137000225684E-2</v>
      </c>
      <c r="I209" s="423">
        <f t="shared" si="60"/>
        <v>24760.510000000126</v>
      </c>
    </row>
    <row r="211" spans="1:9" ht="15.75" x14ac:dyDescent="0.25">
      <c r="A211" s="426">
        <v>42460</v>
      </c>
      <c r="B211" s="424" t="s">
        <v>343</v>
      </c>
      <c r="C211" s="424" t="s">
        <v>33</v>
      </c>
      <c r="D211" s="424" t="s">
        <v>34</v>
      </c>
      <c r="E211" s="424" t="s">
        <v>35</v>
      </c>
      <c r="F211" s="424" t="s">
        <v>103</v>
      </c>
      <c r="G211" s="425" t="s">
        <v>9</v>
      </c>
    </row>
    <row r="212" spans="1:9" x14ac:dyDescent="0.2">
      <c r="A212" s="420" t="s">
        <v>386</v>
      </c>
      <c r="B212" s="420" t="s">
        <v>21</v>
      </c>
      <c r="C212" s="420" t="s">
        <v>38</v>
      </c>
      <c r="D212" s="423">
        <v>482.74</v>
      </c>
      <c r="E212" s="423">
        <v>0</v>
      </c>
      <c r="F212" s="423">
        <v>404.91</v>
      </c>
      <c r="G212" s="423">
        <f t="shared" ref="G212:G218" si="61">SUM(D212:F212)</f>
        <v>887.65000000000009</v>
      </c>
      <c r="H212" s="422">
        <f t="shared" ref="H212:H219" si="62">IF(G202&gt;0,(G212-G202)/G202,0)</f>
        <v>-0.83543416717804775</v>
      </c>
      <c r="I212" s="423">
        <f>G212-G202</f>
        <v>-4506.24</v>
      </c>
    </row>
    <row r="213" spans="1:9" x14ac:dyDescent="0.2">
      <c r="A213" s="420" t="s">
        <v>386</v>
      </c>
      <c r="B213" s="420" t="s">
        <v>351</v>
      </c>
      <c r="C213" s="420" t="s">
        <v>38</v>
      </c>
      <c r="D213" s="423">
        <v>0</v>
      </c>
      <c r="E213" s="423">
        <v>0</v>
      </c>
      <c r="F213" s="423">
        <v>0</v>
      </c>
      <c r="G213" s="423">
        <f t="shared" si="61"/>
        <v>0</v>
      </c>
      <c r="H213" s="422">
        <f t="shared" si="62"/>
        <v>0</v>
      </c>
      <c r="I213" s="423">
        <f t="shared" ref="I213:I219" si="63">G213-G203</f>
        <v>0</v>
      </c>
    </row>
    <row r="214" spans="1:9" x14ac:dyDescent="0.2">
      <c r="A214" s="420" t="s">
        <v>386</v>
      </c>
      <c r="B214" s="420" t="s">
        <v>345</v>
      </c>
      <c r="C214" s="420" t="s">
        <v>38</v>
      </c>
      <c r="D214" s="423">
        <v>5850.61</v>
      </c>
      <c r="E214" s="423">
        <v>11894.17</v>
      </c>
      <c r="F214" s="423">
        <v>127930.27</v>
      </c>
      <c r="G214" s="423">
        <f t="shared" si="61"/>
        <v>145675.04999999999</v>
      </c>
      <c r="H214" s="422">
        <f t="shared" si="62"/>
        <v>-1.0094215486599464E-2</v>
      </c>
      <c r="I214" s="423">
        <f t="shared" si="63"/>
        <v>-1485.4700000000303</v>
      </c>
    </row>
    <row r="215" spans="1:9" x14ac:dyDescent="0.2">
      <c r="A215" s="420" t="s">
        <v>386</v>
      </c>
      <c r="B215" s="420" t="s">
        <v>348</v>
      </c>
      <c r="C215" s="420" t="s">
        <v>38</v>
      </c>
      <c r="D215" s="423">
        <v>52036.06</v>
      </c>
      <c r="E215" s="423">
        <v>61695.519999999997</v>
      </c>
      <c r="F215" s="423">
        <v>487014.96</v>
      </c>
      <c r="G215" s="423">
        <f t="shared" si="61"/>
        <v>600746.54</v>
      </c>
      <c r="H215" s="422">
        <f t="shared" si="62"/>
        <v>-1.5171850673979572E-2</v>
      </c>
      <c r="I215" s="423">
        <f t="shared" si="63"/>
        <v>-9254.8499999999767</v>
      </c>
    </row>
    <row r="216" spans="1:9" x14ac:dyDescent="0.2">
      <c r="A216" s="420" t="s">
        <v>386</v>
      </c>
      <c r="B216" s="420" t="s">
        <v>348</v>
      </c>
      <c r="C216" s="420" t="s">
        <v>39</v>
      </c>
      <c r="D216" s="423">
        <v>13564.01</v>
      </c>
      <c r="E216" s="423">
        <v>30571.26</v>
      </c>
      <c r="F216" s="423">
        <v>78171.710000000006</v>
      </c>
      <c r="G216" s="423">
        <f t="shared" si="61"/>
        <v>122306.98000000001</v>
      </c>
      <c r="H216" s="422">
        <f t="shared" si="62"/>
        <v>-3.3130818326974972E-3</v>
      </c>
      <c r="I216" s="423">
        <f t="shared" si="63"/>
        <v>-406.55999999999767</v>
      </c>
    </row>
    <row r="217" spans="1:9" x14ac:dyDescent="0.2">
      <c r="A217" s="420" t="s">
        <v>386</v>
      </c>
      <c r="B217" s="420" t="s">
        <v>350</v>
      </c>
      <c r="C217" s="420" t="s">
        <v>38</v>
      </c>
      <c r="D217" s="423">
        <v>1830.93</v>
      </c>
      <c r="E217" s="423">
        <v>18033.95</v>
      </c>
      <c r="F217" s="423">
        <v>63918.44</v>
      </c>
      <c r="G217" s="423">
        <f t="shared" si="61"/>
        <v>83783.320000000007</v>
      </c>
      <c r="H217" s="422">
        <f t="shared" si="62"/>
        <v>-0.22868571523262332</v>
      </c>
      <c r="I217" s="423">
        <f t="shared" si="63"/>
        <v>-24840.78</v>
      </c>
    </row>
    <row r="218" spans="1:9" x14ac:dyDescent="0.2">
      <c r="A218" s="420" t="s">
        <v>386</v>
      </c>
      <c r="B218" s="420" t="s">
        <v>350</v>
      </c>
      <c r="C218" s="420" t="s">
        <v>39</v>
      </c>
      <c r="D218" s="423">
        <v>0</v>
      </c>
      <c r="E218" s="423">
        <v>0</v>
      </c>
      <c r="F218" s="423">
        <v>0</v>
      </c>
      <c r="G218" s="423">
        <f t="shared" si="61"/>
        <v>0</v>
      </c>
      <c r="H218" s="422">
        <f t="shared" si="62"/>
        <v>0</v>
      </c>
      <c r="I218" s="423">
        <f t="shared" si="63"/>
        <v>0</v>
      </c>
    </row>
    <row r="219" spans="1:9" x14ac:dyDescent="0.2">
      <c r="G219" s="423">
        <f>SUM(G212:G218)</f>
        <v>953399.54</v>
      </c>
      <c r="H219" s="422">
        <f t="shared" si="62"/>
        <v>-4.074269772823938E-2</v>
      </c>
      <c r="I219" s="423">
        <f t="shared" si="63"/>
        <v>-40493.900000000023</v>
      </c>
    </row>
    <row r="221" spans="1:9" ht="15.75" x14ac:dyDescent="0.25">
      <c r="A221" s="426">
        <v>42490</v>
      </c>
      <c r="B221" s="424" t="s">
        <v>343</v>
      </c>
      <c r="C221" s="424" t="s">
        <v>33</v>
      </c>
      <c r="D221" s="424" t="s">
        <v>34</v>
      </c>
      <c r="E221" s="424" t="s">
        <v>35</v>
      </c>
      <c r="F221" s="424" t="s">
        <v>103</v>
      </c>
      <c r="G221" s="425" t="s">
        <v>9</v>
      </c>
    </row>
    <row r="222" spans="1:9" x14ac:dyDescent="0.2">
      <c r="A222" s="420" t="s">
        <v>386</v>
      </c>
      <c r="B222" s="420" t="s">
        <v>21</v>
      </c>
      <c r="C222" s="420" t="s">
        <v>38</v>
      </c>
      <c r="D222" s="423">
        <v>7504.69</v>
      </c>
      <c r="E222" s="423">
        <v>4.0199999999999996</v>
      </c>
      <c r="F222" s="423">
        <v>315.97000000000003</v>
      </c>
      <c r="G222" s="423">
        <f t="shared" ref="G222:G228" si="64">SUM(D222:F222)</f>
        <v>7824.68</v>
      </c>
      <c r="H222" s="422">
        <f t="shared" ref="H222:H229" si="65">IF(G212&gt;0,(G222-G212)/G212,0)</f>
        <v>7.8150509772996113</v>
      </c>
      <c r="I222" s="423">
        <f>G222-G212</f>
        <v>6937.0300000000007</v>
      </c>
    </row>
    <row r="223" spans="1:9" x14ac:dyDescent="0.2">
      <c r="A223" s="420" t="s">
        <v>386</v>
      </c>
      <c r="B223" s="420" t="s">
        <v>351</v>
      </c>
      <c r="C223" s="420" t="s">
        <v>38</v>
      </c>
      <c r="D223" s="423">
        <v>0.05</v>
      </c>
      <c r="E223" s="423">
        <v>0</v>
      </c>
      <c r="F223" s="423">
        <v>0</v>
      </c>
      <c r="G223" s="423">
        <f t="shared" si="64"/>
        <v>0.05</v>
      </c>
      <c r="H223" s="422">
        <f t="shared" si="65"/>
        <v>0</v>
      </c>
      <c r="I223" s="423">
        <f t="shared" ref="I223:I229" si="66">G223-G213</f>
        <v>0.05</v>
      </c>
    </row>
    <row r="224" spans="1:9" x14ac:dyDescent="0.2">
      <c r="A224" s="420" t="s">
        <v>386</v>
      </c>
      <c r="B224" s="420" t="s">
        <v>345</v>
      </c>
      <c r="C224" s="420" t="s">
        <v>38</v>
      </c>
      <c r="D224" s="423">
        <v>8850.1299999999992</v>
      </c>
      <c r="E224" s="423">
        <v>5405.55</v>
      </c>
      <c r="F224" s="423">
        <v>135002.82</v>
      </c>
      <c r="G224" s="423">
        <f t="shared" si="64"/>
        <v>149258.5</v>
      </c>
      <c r="H224" s="422">
        <f t="shared" si="65"/>
        <v>2.4598927544559016E-2</v>
      </c>
      <c r="I224" s="423">
        <f t="shared" si="66"/>
        <v>3583.4500000000116</v>
      </c>
    </row>
    <row r="225" spans="1:9" x14ac:dyDescent="0.2">
      <c r="A225" s="420" t="s">
        <v>386</v>
      </c>
      <c r="B225" s="420" t="s">
        <v>348</v>
      </c>
      <c r="C225" s="420" t="s">
        <v>38</v>
      </c>
      <c r="D225" s="423">
        <v>40601.919999999998</v>
      </c>
      <c r="E225" s="423">
        <v>43128.95</v>
      </c>
      <c r="F225" s="423">
        <v>507528.85</v>
      </c>
      <c r="G225" s="423">
        <f t="shared" si="64"/>
        <v>591259.72</v>
      </c>
      <c r="H225" s="422">
        <f t="shared" si="65"/>
        <v>-1.5791718084635267E-2</v>
      </c>
      <c r="I225" s="423">
        <f t="shared" si="66"/>
        <v>-9486.8200000000652</v>
      </c>
    </row>
    <row r="226" spans="1:9" x14ac:dyDescent="0.2">
      <c r="A226" s="420" t="s">
        <v>386</v>
      </c>
      <c r="B226" s="420" t="s">
        <v>348</v>
      </c>
      <c r="C226" s="420" t="s">
        <v>39</v>
      </c>
      <c r="D226" s="423">
        <v>19273.689999999999</v>
      </c>
      <c r="E226" s="423">
        <v>11269.97</v>
      </c>
      <c r="F226" s="423">
        <v>91164.75</v>
      </c>
      <c r="G226" s="423">
        <f t="shared" si="64"/>
        <v>121708.41</v>
      </c>
      <c r="H226" s="422">
        <f t="shared" si="65"/>
        <v>-4.8939970556055503E-3</v>
      </c>
      <c r="I226" s="423">
        <f t="shared" si="66"/>
        <v>-598.57000000000698</v>
      </c>
    </row>
    <row r="227" spans="1:9" x14ac:dyDescent="0.2">
      <c r="A227" s="420" t="s">
        <v>386</v>
      </c>
      <c r="B227" s="420" t="s">
        <v>350</v>
      </c>
      <c r="C227" s="420" t="s">
        <v>38</v>
      </c>
      <c r="D227" s="423">
        <v>422.97</v>
      </c>
      <c r="E227" s="423">
        <v>1692.74</v>
      </c>
      <c r="F227" s="423">
        <v>74137.240000000005</v>
      </c>
      <c r="G227" s="423">
        <f t="shared" si="64"/>
        <v>76252.950000000012</v>
      </c>
      <c r="H227" s="422">
        <f t="shared" si="65"/>
        <v>-8.9879107201767547E-2</v>
      </c>
      <c r="I227" s="423">
        <f t="shared" si="66"/>
        <v>-7530.3699999999953</v>
      </c>
    </row>
    <row r="228" spans="1:9" x14ac:dyDescent="0.2">
      <c r="A228" s="420" t="s">
        <v>386</v>
      </c>
      <c r="B228" s="420" t="s">
        <v>350</v>
      </c>
      <c r="C228" s="420" t="s">
        <v>39</v>
      </c>
      <c r="D228" s="423">
        <v>0</v>
      </c>
      <c r="E228" s="423">
        <v>0</v>
      </c>
      <c r="F228" s="423">
        <v>0</v>
      </c>
      <c r="G228" s="423">
        <f t="shared" si="64"/>
        <v>0</v>
      </c>
      <c r="H228" s="422">
        <f t="shared" si="65"/>
        <v>0</v>
      </c>
      <c r="I228" s="423">
        <f t="shared" si="66"/>
        <v>0</v>
      </c>
    </row>
    <row r="229" spans="1:9" x14ac:dyDescent="0.2">
      <c r="G229" s="423">
        <f>SUM(G222:G228)</f>
        <v>946304.31</v>
      </c>
      <c r="H229" s="422">
        <f t="shared" si="65"/>
        <v>-7.4420321201329517E-3</v>
      </c>
      <c r="I229" s="423">
        <f t="shared" si="66"/>
        <v>-7095.2299999999814</v>
      </c>
    </row>
    <row r="231" spans="1:9" ht="15.75" x14ac:dyDescent="0.25">
      <c r="A231" s="426">
        <v>42521</v>
      </c>
      <c r="B231" s="424" t="s">
        <v>343</v>
      </c>
      <c r="C231" s="424" t="s">
        <v>33</v>
      </c>
      <c r="D231" s="424" t="s">
        <v>34</v>
      </c>
      <c r="E231" s="424" t="s">
        <v>35</v>
      </c>
      <c r="F231" s="424" t="s">
        <v>103</v>
      </c>
      <c r="G231" s="425" t="s">
        <v>9</v>
      </c>
    </row>
    <row r="232" spans="1:9" x14ac:dyDescent="0.2">
      <c r="A232" s="420" t="s">
        <v>386</v>
      </c>
      <c r="B232" s="420" t="s">
        <v>21</v>
      </c>
      <c r="C232" s="420" t="s">
        <v>38</v>
      </c>
      <c r="D232" s="423">
        <v>12425</v>
      </c>
      <c r="E232" s="423">
        <v>5090.1099999999997</v>
      </c>
      <c r="F232" s="423">
        <v>319.08</v>
      </c>
      <c r="G232" s="423">
        <f t="shared" ref="G232:G238" si="67">SUM(D232:F232)</f>
        <v>17834.190000000002</v>
      </c>
      <c r="H232" s="422">
        <f t="shared" ref="H232:H239" si="68">IF(G222&gt;0,(G232-G222)/G222,0)</f>
        <v>1.2792229202983383</v>
      </c>
      <c r="I232" s="423">
        <f>G232-G222</f>
        <v>10009.510000000002</v>
      </c>
    </row>
    <row r="233" spans="1:9" x14ac:dyDescent="0.2">
      <c r="A233" s="420" t="s">
        <v>386</v>
      </c>
      <c r="B233" s="420" t="s">
        <v>351</v>
      </c>
      <c r="C233" s="420" t="s">
        <v>38</v>
      </c>
      <c r="D233" s="423">
        <v>0</v>
      </c>
      <c r="E233" s="423">
        <v>0</v>
      </c>
      <c r="F233" s="423">
        <v>0</v>
      </c>
      <c r="G233" s="423">
        <f t="shared" si="67"/>
        <v>0</v>
      </c>
      <c r="H233" s="422">
        <f t="shared" si="68"/>
        <v>-1</v>
      </c>
      <c r="I233" s="423">
        <f t="shared" ref="I233:I239" si="69">G233-G223</f>
        <v>-0.05</v>
      </c>
    </row>
    <row r="234" spans="1:9" x14ac:dyDescent="0.2">
      <c r="A234" s="420" t="s">
        <v>386</v>
      </c>
      <c r="B234" s="420" t="s">
        <v>345</v>
      </c>
      <c r="C234" s="420" t="s">
        <v>38</v>
      </c>
      <c r="D234" s="423">
        <v>16476.03</v>
      </c>
      <c r="E234" s="423">
        <v>7602.88</v>
      </c>
      <c r="F234" s="423">
        <v>130477.44</v>
      </c>
      <c r="G234" s="423">
        <f t="shared" si="67"/>
        <v>154556.35</v>
      </c>
      <c r="H234" s="422">
        <f t="shared" si="68"/>
        <v>3.5494460951972624E-2</v>
      </c>
      <c r="I234" s="423">
        <f t="shared" si="69"/>
        <v>5297.8500000000058</v>
      </c>
    </row>
    <row r="235" spans="1:9" x14ac:dyDescent="0.2">
      <c r="A235" s="420" t="s">
        <v>386</v>
      </c>
      <c r="B235" s="420" t="s">
        <v>348</v>
      </c>
      <c r="C235" s="420" t="s">
        <v>38</v>
      </c>
      <c r="D235" s="423">
        <v>97767.28</v>
      </c>
      <c r="E235" s="423">
        <v>37244.36</v>
      </c>
      <c r="F235" s="423">
        <v>508655.55</v>
      </c>
      <c r="G235" s="423">
        <f t="shared" si="67"/>
        <v>643667.18999999994</v>
      </c>
      <c r="H235" s="422">
        <f t="shared" si="68"/>
        <v>8.863696989201289E-2</v>
      </c>
      <c r="I235" s="423">
        <f t="shared" si="69"/>
        <v>52407.469999999972</v>
      </c>
    </row>
    <row r="236" spans="1:9" x14ac:dyDescent="0.2">
      <c r="A236" s="420" t="s">
        <v>386</v>
      </c>
      <c r="B236" s="420" t="s">
        <v>348</v>
      </c>
      <c r="C236" s="420" t="s">
        <v>39</v>
      </c>
      <c r="D236" s="423">
        <v>52785.37</v>
      </c>
      <c r="E236" s="423">
        <v>17553.72</v>
      </c>
      <c r="F236" s="423">
        <v>88111.32</v>
      </c>
      <c r="G236" s="423">
        <f t="shared" si="67"/>
        <v>158450.41</v>
      </c>
      <c r="H236" s="422">
        <f t="shared" si="68"/>
        <v>0.30188546543332545</v>
      </c>
      <c r="I236" s="423">
        <f t="shared" si="69"/>
        <v>36742</v>
      </c>
    </row>
    <row r="237" spans="1:9" x14ac:dyDescent="0.2">
      <c r="A237" s="420" t="s">
        <v>386</v>
      </c>
      <c r="B237" s="420" t="s">
        <v>350</v>
      </c>
      <c r="C237" s="420" t="s">
        <v>38</v>
      </c>
      <c r="D237" s="423">
        <v>15966.33</v>
      </c>
      <c r="E237" s="423">
        <v>419.27</v>
      </c>
      <c r="F237" s="423">
        <v>66914.52</v>
      </c>
      <c r="G237" s="423">
        <f t="shared" si="67"/>
        <v>83300.12</v>
      </c>
      <c r="H237" s="422">
        <f t="shared" si="68"/>
        <v>9.2418326110661725E-2</v>
      </c>
      <c r="I237" s="423">
        <f t="shared" si="69"/>
        <v>7047.1699999999837</v>
      </c>
    </row>
    <row r="238" spans="1:9" x14ac:dyDescent="0.2">
      <c r="A238" s="420" t="s">
        <v>386</v>
      </c>
      <c r="B238" s="420" t="s">
        <v>350</v>
      </c>
      <c r="C238" s="420" t="s">
        <v>39</v>
      </c>
      <c r="D238" s="423">
        <v>0</v>
      </c>
      <c r="E238" s="423">
        <v>0</v>
      </c>
      <c r="F238" s="423">
        <v>0</v>
      </c>
      <c r="G238" s="423">
        <f t="shared" si="67"/>
        <v>0</v>
      </c>
      <c r="H238" s="422">
        <f t="shared" si="68"/>
        <v>0</v>
      </c>
      <c r="I238" s="423">
        <f t="shared" si="69"/>
        <v>0</v>
      </c>
    </row>
    <row r="239" spans="1:9" x14ac:dyDescent="0.2">
      <c r="G239" s="423">
        <f>SUM(G232:G238)</f>
        <v>1057808.26</v>
      </c>
      <c r="H239" s="422">
        <f t="shared" si="68"/>
        <v>0.1178309649672841</v>
      </c>
      <c r="I239" s="423">
        <f t="shared" si="69"/>
        <v>111503.94999999995</v>
      </c>
    </row>
    <row r="241" spans="1:9" ht="15.75" x14ac:dyDescent="0.25">
      <c r="A241" s="426">
        <v>42551</v>
      </c>
      <c r="B241" s="424" t="s">
        <v>343</v>
      </c>
      <c r="C241" s="424" t="s">
        <v>33</v>
      </c>
      <c r="D241" s="424" t="s">
        <v>34</v>
      </c>
      <c r="E241" s="424" t="s">
        <v>35</v>
      </c>
      <c r="F241" s="424" t="s">
        <v>103</v>
      </c>
      <c r="G241" s="425" t="s">
        <v>9</v>
      </c>
    </row>
    <row r="242" spans="1:9" x14ac:dyDescent="0.2">
      <c r="A242" s="420" t="s">
        <v>386</v>
      </c>
      <c r="B242" s="420" t="s">
        <v>21</v>
      </c>
      <c r="C242" s="420" t="s">
        <v>38</v>
      </c>
      <c r="D242" s="423">
        <v>18.52</v>
      </c>
      <c r="E242" s="423">
        <v>12529.14</v>
      </c>
      <c r="F242" s="423">
        <v>5346.62</v>
      </c>
      <c r="G242" s="423">
        <f t="shared" ref="G242:G248" si="70">SUM(D242:F242)</f>
        <v>17894.28</v>
      </c>
      <c r="H242" s="422">
        <f t="shared" ref="H242:H249" si="71">IF(G232&gt;0,(G242-G232)/G232,0)</f>
        <v>3.3693708545213716E-3</v>
      </c>
      <c r="I242" s="423">
        <f t="shared" ref="I242:I249" si="72">G242-G232</f>
        <v>60.089999999996508</v>
      </c>
    </row>
    <row r="243" spans="1:9" x14ac:dyDescent="0.2">
      <c r="A243" s="420" t="s">
        <v>386</v>
      </c>
      <c r="B243" s="420" t="s">
        <v>351</v>
      </c>
      <c r="C243" s="420" t="s">
        <v>38</v>
      </c>
      <c r="D243" s="423">
        <v>0</v>
      </c>
      <c r="E243" s="423">
        <v>0</v>
      </c>
      <c r="F243" s="423">
        <v>0</v>
      </c>
      <c r="G243" s="423">
        <f t="shared" si="70"/>
        <v>0</v>
      </c>
      <c r="H243" s="422">
        <f t="shared" si="71"/>
        <v>0</v>
      </c>
      <c r="I243" s="423">
        <f t="shared" si="72"/>
        <v>0</v>
      </c>
    </row>
    <row r="244" spans="1:9" x14ac:dyDescent="0.2">
      <c r="A244" s="420" t="s">
        <v>386</v>
      </c>
      <c r="B244" s="420" t="s">
        <v>345</v>
      </c>
      <c r="C244" s="420" t="s">
        <v>38</v>
      </c>
      <c r="D244" s="423">
        <v>6075.47</v>
      </c>
      <c r="E244" s="423">
        <v>12731.16</v>
      </c>
      <c r="F244" s="423">
        <v>123935.36</v>
      </c>
      <c r="G244" s="423">
        <f t="shared" si="70"/>
        <v>142741.99</v>
      </c>
      <c r="H244" s="422">
        <f t="shared" si="71"/>
        <v>-7.6440469770410691E-2</v>
      </c>
      <c r="I244" s="423">
        <f t="shared" si="72"/>
        <v>-11814.360000000015</v>
      </c>
    </row>
    <row r="245" spans="1:9" x14ac:dyDescent="0.2">
      <c r="A245" s="420" t="s">
        <v>386</v>
      </c>
      <c r="B245" s="420" t="s">
        <v>348</v>
      </c>
      <c r="C245" s="420" t="s">
        <v>38</v>
      </c>
      <c r="D245" s="423">
        <v>54284.95</v>
      </c>
      <c r="E245" s="423">
        <v>75153.08</v>
      </c>
      <c r="F245" s="423">
        <v>492256.02</v>
      </c>
      <c r="G245" s="423">
        <f t="shared" si="70"/>
        <v>621694.05000000005</v>
      </c>
      <c r="H245" s="422">
        <f t="shared" si="71"/>
        <v>-3.413742434191791E-2</v>
      </c>
      <c r="I245" s="423">
        <f t="shared" si="72"/>
        <v>-21973.139999999898</v>
      </c>
    </row>
    <row r="246" spans="1:9" x14ac:dyDescent="0.2">
      <c r="A246" s="420" t="s">
        <v>386</v>
      </c>
      <c r="B246" s="420" t="s">
        <v>348</v>
      </c>
      <c r="C246" s="420" t="s">
        <v>39</v>
      </c>
      <c r="D246" s="423">
        <v>16101.59</v>
      </c>
      <c r="E246" s="423">
        <v>43495.42</v>
      </c>
      <c r="F246" s="423">
        <v>89392.92</v>
      </c>
      <c r="G246" s="423">
        <f t="shared" si="70"/>
        <v>148989.93</v>
      </c>
      <c r="H246" s="422">
        <f t="shared" si="71"/>
        <v>-5.9706251312319165E-2</v>
      </c>
      <c r="I246" s="423">
        <f t="shared" si="72"/>
        <v>-9460.4800000000105</v>
      </c>
    </row>
    <row r="247" spans="1:9" x14ac:dyDescent="0.2">
      <c r="A247" s="420" t="s">
        <v>386</v>
      </c>
      <c r="B247" s="420" t="s">
        <v>350</v>
      </c>
      <c r="C247" s="420" t="s">
        <v>38</v>
      </c>
      <c r="D247" s="423">
        <v>26629.47</v>
      </c>
      <c r="E247" s="423">
        <v>13657.4</v>
      </c>
      <c r="F247" s="423">
        <v>58970.32</v>
      </c>
      <c r="G247" s="423">
        <f t="shared" si="70"/>
        <v>99257.19</v>
      </c>
      <c r="H247" s="422">
        <f t="shared" si="71"/>
        <v>0.1915611886273394</v>
      </c>
      <c r="I247" s="423">
        <f t="shared" si="72"/>
        <v>15957.070000000007</v>
      </c>
    </row>
    <row r="248" spans="1:9" x14ac:dyDescent="0.2">
      <c r="A248" s="420" t="s">
        <v>386</v>
      </c>
      <c r="B248" s="420" t="s">
        <v>350</v>
      </c>
      <c r="C248" s="420" t="s">
        <v>39</v>
      </c>
      <c r="D248" s="423">
        <v>0</v>
      </c>
      <c r="E248" s="423">
        <v>0</v>
      </c>
      <c r="F248" s="423">
        <v>0</v>
      </c>
      <c r="G248" s="423">
        <f t="shared" si="70"/>
        <v>0</v>
      </c>
      <c r="H248" s="422">
        <f t="shared" si="71"/>
        <v>0</v>
      </c>
      <c r="I248" s="423">
        <f t="shared" si="72"/>
        <v>0</v>
      </c>
    </row>
    <row r="249" spans="1:9" x14ac:dyDescent="0.2">
      <c r="G249" s="423">
        <f>SUM(G242:G248)</f>
        <v>1030577.44</v>
      </c>
      <c r="H249" s="422">
        <f t="shared" si="71"/>
        <v>-2.5742680436244718E-2</v>
      </c>
      <c r="I249" s="423">
        <f t="shared" si="72"/>
        <v>-27230.820000000065</v>
      </c>
    </row>
    <row r="251" spans="1:9" ht="15.75" x14ac:dyDescent="0.25">
      <c r="A251" s="426">
        <v>42582</v>
      </c>
      <c r="B251" s="424" t="s">
        <v>343</v>
      </c>
      <c r="C251" s="424" t="s">
        <v>33</v>
      </c>
      <c r="D251" s="424" t="s">
        <v>34</v>
      </c>
      <c r="E251" s="424" t="s">
        <v>35</v>
      </c>
      <c r="F251" s="424" t="s">
        <v>103</v>
      </c>
      <c r="G251" s="425" t="s">
        <v>9</v>
      </c>
    </row>
    <row r="252" spans="1:9" x14ac:dyDescent="0.2">
      <c r="A252" s="420" t="s">
        <v>396</v>
      </c>
      <c r="B252" s="420" t="s">
        <v>21</v>
      </c>
      <c r="C252" s="420" t="s">
        <v>38</v>
      </c>
      <c r="D252" s="423">
        <v>20.440000000000001</v>
      </c>
      <c r="E252" s="423">
        <v>16.53</v>
      </c>
      <c r="F252" s="423">
        <v>67.260000000000005</v>
      </c>
      <c r="G252" s="423">
        <f t="shared" ref="G252:G259" si="73">SUM(D252:F252)</f>
        <v>104.23</v>
      </c>
      <c r="H252" s="422">
        <f>IF(G242&gt;0,(G252-G242)/G242,0)</f>
        <v>-0.99417523365008265</v>
      </c>
      <c r="I252" s="423">
        <f>G252-G242</f>
        <v>-17790.05</v>
      </c>
    </row>
    <row r="253" spans="1:9" x14ac:dyDescent="0.2">
      <c r="A253" s="420" t="s">
        <v>396</v>
      </c>
      <c r="B253" s="420" t="s">
        <v>351</v>
      </c>
      <c r="C253" s="420" t="s">
        <v>38</v>
      </c>
      <c r="D253" s="423">
        <v>0</v>
      </c>
      <c r="E253" s="423">
        <v>0</v>
      </c>
      <c r="F253" s="423">
        <v>0</v>
      </c>
      <c r="G253" s="423">
        <f t="shared" si="73"/>
        <v>0</v>
      </c>
      <c r="H253" s="422">
        <f>IF(G243&gt;0,(G253-G243)/G243,0)</f>
        <v>0</v>
      </c>
      <c r="I253" s="423">
        <f>G253-G243</f>
        <v>0</v>
      </c>
    </row>
    <row r="254" spans="1:9" x14ac:dyDescent="0.2">
      <c r="A254" s="420" t="s">
        <v>396</v>
      </c>
      <c r="B254" s="420" t="s">
        <v>345</v>
      </c>
      <c r="C254" s="420" t="s">
        <v>38</v>
      </c>
      <c r="D254" s="423">
        <v>10423.120000000001</v>
      </c>
      <c r="E254" s="423">
        <v>4593.71</v>
      </c>
      <c r="F254" s="423">
        <v>117650.34</v>
      </c>
      <c r="G254" s="423">
        <f t="shared" si="73"/>
        <v>132667.16999999998</v>
      </c>
      <c r="H254" s="422">
        <f>IF(G244&gt;0,(G254-G244)/G244,0)</f>
        <v>-7.0580632930786577E-2</v>
      </c>
      <c r="I254" s="423">
        <f>G254-G244</f>
        <v>-10074.820000000007</v>
      </c>
    </row>
    <row r="255" spans="1:9" x14ac:dyDescent="0.2">
      <c r="A255" s="420" t="s">
        <v>396</v>
      </c>
      <c r="B255" s="420" t="s">
        <v>345</v>
      </c>
      <c r="C255" s="420" t="s">
        <v>39</v>
      </c>
      <c r="D255" s="423">
        <v>0</v>
      </c>
      <c r="E255" s="423">
        <v>0</v>
      </c>
      <c r="F255" s="423">
        <v>52.75</v>
      </c>
      <c r="G255" s="423">
        <f t="shared" si="73"/>
        <v>52.75</v>
      </c>
      <c r="H255" s="422"/>
      <c r="I255" s="423"/>
    </row>
    <row r="256" spans="1:9" x14ac:dyDescent="0.2">
      <c r="A256" s="420" t="s">
        <v>396</v>
      </c>
      <c r="B256" s="420" t="s">
        <v>348</v>
      </c>
      <c r="C256" s="420" t="s">
        <v>38</v>
      </c>
      <c r="D256" s="423">
        <v>45710.19</v>
      </c>
      <c r="E256" s="423">
        <v>42892.22</v>
      </c>
      <c r="F256" s="423">
        <v>487006.26</v>
      </c>
      <c r="G256" s="423">
        <f t="shared" si="73"/>
        <v>575608.67000000004</v>
      </c>
      <c r="H256" s="422">
        <f t="shared" ref="H256:H260" si="74">IF(G245&gt;0,(G256-G245)/G245,0)</f>
        <v>-7.4128713311636174E-2</v>
      </c>
      <c r="I256" s="423">
        <f t="shared" ref="I256:I259" si="75">G256-G245</f>
        <v>-46085.380000000005</v>
      </c>
    </row>
    <row r="257" spans="1:9" x14ac:dyDescent="0.2">
      <c r="A257" s="420" t="s">
        <v>396</v>
      </c>
      <c r="B257" s="420" t="s">
        <v>348</v>
      </c>
      <c r="C257" s="420" t="s">
        <v>39</v>
      </c>
      <c r="D257" s="423">
        <v>17655.73</v>
      </c>
      <c r="E257" s="423">
        <v>10946.5</v>
      </c>
      <c r="F257" s="423">
        <v>97953.7</v>
      </c>
      <c r="G257" s="423">
        <f t="shared" si="73"/>
        <v>126555.93</v>
      </c>
      <c r="H257" s="422">
        <f t="shared" si="74"/>
        <v>-0.15057393476189967</v>
      </c>
      <c r="I257" s="423">
        <f t="shared" si="75"/>
        <v>-22434</v>
      </c>
    </row>
    <row r="258" spans="1:9" x14ac:dyDescent="0.2">
      <c r="A258" s="420" t="s">
        <v>396</v>
      </c>
      <c r="B258" s="420" t="s">
        <v>350</v>
      </c>
      <c r="C258" s="420" t="s">
        <v>38</v>
      </c>
      <c r="D258" s="423">
        <v>5443.65</v>
      </c>
      <c r="E258" s="423">
        <v>21853.35</v>
      </c>
      <c r="F258" s="423">
        <v>65675.009999999995</v>
      </c>
      <c r="G258" s="423">
        <f t="shared" si="73"/>
        <v>92972.01</v>
      </c>
      <c r="H258" s="422">
        <f t="shared" si="74"/>
        <v>-6.3322163361666878E-2</v>
      </c>
      <c r="I258" s="423">
        <f t="shared" si="75"/>
        <v>-6285.1800000000076</v>
      </c>
    </row>
    <row r="259" spans="1:9" x14ac:dyDescent="0.2">
      <c r="A259" s="420" t="s">
        <v>396</v>
      </c>
      <c r="B259" s="420" t="s">
        <v>350</v>
      </c>
      <c r="C259" s="420" t="s">
        <v>39</v>
      </c>
      <c r="D259" s="421">
        <v>0</v>
      </c>
      <c r="E259" s="421">
        <v>0</v>
      </c>
      <c r="F259" s="421">
        <v>0</v>
      </c>
      <c r="G259" s="423">
        <f t="shared" si="73"/>
        <v>0</v>
      </c>
      <c r="H259" s="422">
        <f t="shared" si="74"/>
        <v>0</v>
      </c>
      <c r="I259" s="423">
        <f t="shared" si="75"/>
        <v>0</v>
      </c>
    </row>
    <row r="260" spans="1:9" x14ac:dyDescent="0.2">
      <c r="G260" s="423">
        <f>SUM(G252:G259)</f>
        <v>927960.76</v>
      </c>
      <c r="H260" s="422">
        <f t="shared" si="74"/>
        <v>-9.957202245762331E-2</v>
      </c>
      <c r="I260" s="423">
        <f>G260-G249</f>
        <v>-102616.67999999993</v>
      </c>
    </row>
    <row r="262" spans="1:9" ht="15.75" x14ac:dyDescent="0.25">
      <c r="A262" s="426">
        <v>42613</v>
      </c>
      <c r="B262" s="424" t="s">
        <v>343</v>
      </c>
      <c r="C262" s="424" t="s">
        <v>33</v>
      </c>
      <c r="D262" s="424" t="s">
        <v>34</v>
      </c>
      <c r="E262" s="424" t="s">
        <v>35</v>
      </c>
      <c r="F262" s="424" t="s">
        <v>103</v>
      </c>
      <c r="G262" s="425" t="s">
        <v>9</v>
      </c>
    </row>
    <row r="263" spans="1:9" x14ac:dyDescent="0.2">
      <c r="A263" s="420" t="s">
        <v>396</v>
      </c>
      <c r="B263" s="420" t="s">
        <v>21</v>
      </c>
      <c r="C263" s="420" t="s">
        <v>38</v>
      </c>
      <c r="D263" s="423">
        <v>10.78</v>
      </c>
      <c r="E263" s="423">
        <v>2.41</v>
      </c>
      <c r="F263" s="423">
        <v>83.79</v>
      </c>
      <c r="G263" s="423">
        <f t="shared" ref="G263:G269" si="76">SUM(D263:F263)</f>
        <v>96.98</v>
      </c>
      <c r="H263" s="422">
        <f>IF(G252&gt;0,(G263-G252)/G252,0)</f>
        <v>-6.9557708912980909E-2</v>
      </c>
      <c r="I263" s="423">
        <f>G263-G252</f>
        <v>-7.25</v>
      </c>
    </row>
    <row r="264" spans="1:9" x14ac:dyDescent="0.2">
      <c r="A264" s="420" t="s">
        <v>396</v>
      </c>
      <c r="B264" s="420" t="s">
        <v>351</v>
      </c>
      <c r="C264" s="420" t="s">
        <v>38</v>
      </c>
      <c r="D264" s="423">
        <v>0</v>
      </c>
      <c r="E264" s="423">
        <v>0</v>
      </c>
      <c r="F264" s="423">
        <v>0</v>
      </c>
      <c r="G264" s="423">
        <f t="shared" si="76"/>
        <v>0</v>
      </c>
      <c r="H264" s="422">
        <f>IF(G253&gt;0,(G264-G253)/G253,0)</f>
        <v>0</v>
      </c>
      <c r="I264" s="423">
        <f>G264-G253</f>
        <v>0</v>
      </c>
    </row>
    <row r="265" spans="1:9" x14ac:dyDescent="0.2">
      <c r="A265" s="420" t="s">
        <v>396</v>
      </c>
      <c r="B265" s="420" t="s">
        <v>345</v>
      </c>
      <c r="C265" s="420" t="s">
        <v>38</v>
      </c>
      <c r="D265" s="423">
        <v>15042.34</v>
      </c>
      <c r="E265" s="423">
        <v>10690.58</v>
      </c>
      <c r="F265" s="423">
        <v>110086.53</v>
      </c>
      <c r="G265" s="423">
        <f t="shared" si="76"/>
        <v>135819.45000000001</v>
      </c>
      <c r="H265" s="422">
        <f>IF(G254&gt;0,(G265-G254)/G254,0)</f>
        <v>2.3760814374799946E-2</v>
      </c>
      <c r="I265" s="423">
        <f>G265-G254</f>
        <v>3152.2800000000279</v>
      </c>
    </row>
    <row r="266" spans="1:9" x14ac:dyDescent="0.2">
      <c r="A266" s="420" t="s">
        <v>396</v>
      </c>
      <c r="B266" s="420" t="s">
        <v>348</v>
      </c>
      <c r="C266" s="420" t="s">
        <v>38</v>
      </c>
      <c r="D266" s="423">
        <v>72067.64</v>
      </c>
      <c r="E266" s="423">
        <v>30620.11</v>
      </c>
      <c r="F266" s="423">
        <v>469920.25</v>
      </c>
      <c r="G266" s="423">
        <f t="shared" si="76"/>
        <v>572608</v>
      </c>
      <c r="H266" s="422">
        <f>IF(G256&gt;0,(G266-G256)/G256,0)</f>
        <v>-5.2130382261268609E-3</v>
      </c>
      <c r="I266" s="423">
        <f>G266-G256</f>
        <v>-3000.6700000000419</v>
      </c>
    </row>
    <row r="267" spans="1:9" x14ac:dyDescent="0.2">
      <c r="A267" s="420" t="s">
        <v>396</v>
      </c>
      <c r="B267" s="420" t="s">
        <v>348</v>
      </c>
      <c r="C267" s="420" t="s">
        <v>39</v>
      </c>
      <c r="D267" s="423">
        <v>31024.959999999999</v>
      </c>
      <c r="E267" s="423">
        <v>13273.52</v>
      </c>
      <c r="F267" s="423">
        <v>76722.600000000006</v>
      </c>
      <c r="G267" s="423">
        <f t="shared" si="76"/>
        <v>121021.08</v>
      </c>
      <c r="H267" s="422">
        <f>IF(G257&gt;0,(G267-G257)/G257,0)</f>
        <v>-4.3734418450403642E-2</v>
      </c>
      <c r="I267" s="423">
        <f>G267-G257</f>
        <v>-5534.8499999999913</v>
      </c>
    </row>
    <row r="268" spans="1:9" x14ac:dyDescent="0.2">
      <c r="A268" s="420" t="s">
        <v>396</v>
      </c>
      <c r="B268" s="420" t="s">
        <v>350</v>
      </c>
      <c r="C268" s="420" t="s">
        <v>38</v>
      </c>
      <c r="D268" s="423">
        <v>17751.740000000002</v>
      </c>
      <c r="E268" s="423">
        <v>307.89999999999998</v>
      </c>
      <c r="F268" s="423">
        <v>78777.11</v>
      </c>
      <c r="G268" s="423">
        <f t="shared" si="76"/>
        <v>96836.75</v>
      </c>
      <c r="H268" s="422">
        <f>IF(G258&gt;0,(G268-G258)/G258,0)</f>
        <v>4.1568854970436858E-2</v>
      </c>
      <c r="I268" s="423">
        <f>G268-G258</f>
        <v>3864.7400000000052</v>
      </c>
    </row>
    <row r="269" spans="1:9" x14ac:dyDescent="0.2">
      <c r="A269" s="420" t="s">
        <v>396</v>
      </c>
      <c r="B269" s="420" t="s">
        <v>350</v>
      </c>
      <c r="C269" s="420" t="s">
        <v>39</v>
      </c>
      <c r="D269" s="423">
        <v>0</v>
      </c>
      <c r="E269" s="423">
        <v>0</v>
      </c>
      <c r="F269" s="423">
        <v>0</v>
      </c>
      <c r="G269" s="423">
        <f t="shared" si="76"/>
        <v>0</v>
      </c>
      <c r="H269" s="422">
        <f>IF(G259&gt;0,(G269-G259)/G259,0)</f>
        <v>0</v>
      </c>
      <c r="I269" s="423">
        <f>G269-G259</f>
        <v>0</v>
      </c>
    </row>
    <row r="270" spans="1:9" x14ac:dyDescent="0.2">
      <c r="G270" s="423">
        <f>SUM(G263:G269)</f>
        <v>926382.26</v>
      </c>
      <c r="H270" s="422">
        <f>IF(G260&gt;0,(G270-G260)/G260,0)</f>
        <v>-1.7010417552569788E-3</v>
      </c>
      <c r="I270" s="423">
        <f>G270-G260</f>
        <v>-1578.5</v>
      </c>
    </row>
    <row r="272" spans="1:9" ht="15.75" x14ac:dyDescent="0.25">
      <c r="A272" s="426">
        <v>42643</v>
      </c>
      <c r="B272" s="424" t="s">
        <v>343</v>
      </c>
      <c r="C272" s="424" t="s">
        <v>33</v>
      </c>
      <c r="D272" s="424" t="s">
        <v>34</v>
      </c>
      <c r="E272" s="424" t="s">
        <v>35</v>
      </c>
      <c r="F272" s="424" t="s">
        <v>103</v>
      </c>
      <c r="G272" s="425" t="s">
        <v>9</v>
      </c>
    </row>
    <row r="273" spans="1:9" x14ac:dyDescent="0.2">
      <c r="A273" s="420" t="s">
        <v>396</v>
      </c>
      <c r="B273" s="420" t="s">
        <v>21</v>
      </c>
      <c r="C273" s="420" t="s">
        <v>38</v>
      </c>
      <c r="D273" s="423">
        <v>21.39</v>
      </c>
      <c r="E273" s="423">
        <v>4.55</v>
      </c>
      <c r="F273" s="423">
        <v>84.56</v>
      </c>
      <c r="G273" s="423">
        <f t="shared" ref="G273:G279" si="77">SUM(D273:F273)</f>
        <v>110.5</v>
      </c>
      <c r="H273" s="422">
        <f t="shared" ref="H273:H280" si="78">IF(G263&gt;0,(G273-G263)/G263,0)</f>
        <v>0.13941018766756028</v>
      </c>
      <c r="I273" s="423">
        <f t="shared" ref="I273:I280" si="79">G273-G263</f>
        <v>13.519999999999996</v>
      </c>
    </row>
    <row r="274" spans="1:9" x14ac:dyDescent="0.2">
      <c r="A274" s="420" t="s">
        <v>396</v>
      </c>
      <c r="B274" s="420" t="s">
        <v>351</v>
      </c>
      <c r="C274" s="420" t="s">
        <v>38</v>
      </c>
      <c r="D274" s="423">
        <v>0</v>
      </c>
      <c r="E274" s="423">
        <v>0</v>
      </c>
      <c r="F274" s="423">
        <v>0</v>
      </c>
      <c r="G274" s="423">
        <f t="shared" si="77"/>
        <v>0</v>
      </c>
      <c r="H274" s="422">
        <f t="shared" si="78"/>
        <v>0</v>
      </c>
      <c r="I274" s="423">
        <f t="shared" si="79"/>
        <v>0</v>
      </c>
    </row>
    <row r="275" spans="1:9" x14ac:dyDescent="0.2">
      <c r="A275" s="420" t="s">
        <v>396</v>
      </c>
      <c r="B275" s="420" t="s">
        <v>345</v>
      </c>
      <c r="C275" s="420" t="s">
        <v>38</v>
      </c>
      <c r="D275" s="423">
        <v>4746.5600000000004</v>
      </c>
      <c r="E275" s="423">
        <v>10729.78</v>
      </c>
      <c r="F275" s="423">
        <v>113486.68</v>
      </c>
      <c r="G275" s="423">
        <f t="shared" si="77"/>
        <v>128963.01999999999</v>
      </c>
      <c r="H275" s="422">
        <f t="shared" si="78"/>
        <v>-5.04819449644364E-2</v>
      </c>
      <c r="I275" s="423">
        <f t="shared" si="79"/>
        <v>-6856.4300000000221</v>
      </c>
    </row>
    <row r="276" spans="1:9" x14ac:dyDescent="0.2">
      <c r="A276" s="420" t="s">
        <v>396</v>
      </c>
      <c r="B276" s="420" t="s">
        <v>348</v>
      </c>
      <c r="C276" s="420" t="s">
        <v>38</v>
      </c>
      <c r="D276" s="423">
        <v>38628.120000000003</v>
      </c>
      <c r="E276" s="423">
        <v>54682.33</v>
      </c>
      <c r="F276" s="423">
        <v>464095.64</v>
      </c>
      <c r="G276" s="423">
        <f t="shared" si="77"/>
        <v>557406.09000000008</v>
      </c>
      <c r="H276" s="422">
        <f t="shared" si="78"/>
        <v>-2.6548546300435755E-2</v>
      </c>
      <c r="I276" s="423">
        <f t="shared" si="79"/>
        <v>-15201.909999999916</v>
      </c>
    </row>
    <row r="277" spans="1:9" x14ac:dyDescent="0.2">
      <c r="A277" s="420" t="s">
        <v>396</v>
      </c>
      <c r="B277" s="420" t="s">
        <v>348</v>
      </c>
      <c r="C277" s="420" t="s">
        <v>39</v>
      </c>
      <c r="D277" s="423">
        <v>5054.78</v>
      </c>
      <c r="E277" s="423">
        <v>23358.7</v>
      </c>
      <c r="F277" s="423">
        <v>68725.02</v>
      </c>
      <c r="G277" s="423">
        <f t="shared" si="77"/>
        <v>97138.5</v>
      </c>
      <c r="H277" s="422">
        <f t="shared" si="78"/>
        <v>-0.19734231424806326</v>
      </c>
      <c r="I277" s="423">
        <f t="shared" si="79"/>
        <v>-23882.58</v>
      </c>
    </row>
    <row r="278" spans="1:9" x14ac:dyDescent="0.2">
      <c r="A278" s="420" t="s">
        <v>396</v>
      </c>
      <c r="B278" s="420" t="s">
        <v>350</v>
      </c>
      <c r="C278" s="420" t="s">
        <v>38</v>
      </c>
      <c r="D278" s="423">
        <v>24265</v>
      </c>
      <c r="E278" s="423">
        <v>12952.28</v>
      </c>
      <c r="F278" s="423">
        <v>75764.320000000007</v>
      </c>
      <c r="G278" s="423">
        <f t="shared" si="77"/>
        <v>112981.6</v>
      </c>
      <c r="H278" s="422">
        <f t="shared" si="78"/>
        <v>0.16672234456443452</v>
      </c>
      <c r="I278" s="423">
        <f t="shared" si="79"/>
        <v>16144.850000000006</v>
      </c>
    </row>
    <row r="279" spans="1:9" x14ac:dyDescent="0.2">
      <c r="A279" s="420" t="s">
        <v>396</v>
      </c>
      <c r="B279" s="420" t="s">
        <v>350</v>
      </c>
      <c r="C279" s="420" t="s">
        <v>39</v>
      </c>
      <c r="D279" s="423">
        <v>2142.7800000000002</v>
      </c>
      <c r="E279" s="423">
        <v>0</v>
      </c>
      <c r="F279" s="423">
        <v>0</v>
      </c>
      <c r="G279" s="423">
        <f t="shared" si="77"/>
        <v>2142.7800000000002</v>
      </c>
      <c r="H279" s="422">
        <f t="shared" si="78"/>
        <v>0</v>
      </c>
      <c r="I279" s="423">
        <f t="shared" si="79"/>
        <v>2142.7800000000002</v>
      </c>
    </row>
    <row r="280" spans="1:9" x14ac:dyDescent="0.2">
      <c r="G280" s="423">
        <f>SUM(G273:G279)</f>
        <v>898742.49000000011</v>
      </c>
      <c r="H280" s="422">
        <f t="shared" si="78"/>
        <v>-2.9836247080119931E-2</v>
      </c>
      <c r="I280" s="423">
        <f t="shared" si="79"/>
        <v>-27639.769999999902</v>
      </c>
    </row>
    <row r="282" spans="1:9" ht="15.75" x14ac:dyDescent="0.25">
      <c r="A282" s="426">
        <v>42674</v>
      </c>
      <c r="B282" s="424" t="s">
        <v>343</v>
      </c>
      <c r="C282" s="424" t="s">
        <v>33</v>
      </c>
      <c r="D282" s="424" t="s">
        <v>34</v>
      </c>
      <c r="E282" s="424" t="s">
        <v>35</v>
      </c>
      <c r="F282" s="424" t="s">
        <v>103</v>
      </c>
      <c r="G282" s="425" t="s">
        <v>9</v>
      </c>
    </row>
    <row r="283" spans="1:9" x14ac:dyDescent="0.2">
      <c r="A283" s="420" t="s">
        <v>396</v>
      </c>
      <c r="B283" s="420" t="s">
        <v>21</v>
      </c>
      <c r="C283" s="420" t="s">
        <v>38</v>
      </c>
      <c r="D283" s="423">
        <v>46.55</v>
      </c>
      <c r="E283" s="423">
        <v>21.39</v>
      </c>
      <c r="F283" s="423">
        <v>84.79</v>
      </c>
      <c r="G283" s="423">
        <f t="shared" ref="G283:G289" si="80">SUM(D283:F283)</f>
        <v>152.73000000000002</v>
      </c>
      <c r="H283" s="422">
        <f t="shared" ref="H283:H290" si="81">IF(G273&gt;0,(G283-G273)/G273,0)</f>
        <v>0.38217194570135765</v>
      </c>
      <c r="I283" s="423">
        <f t="shared" ref="I283:I290" si="82">G283-G273</f>
        <v>42.230000000000018</v>
      </c>
    </row>
    <row r="284" spans="1:9" x14ac:dyDescent="0.2">
      <c r="A284" s="420" t="s">
        <v>396</v>
      </c>
      <c r="B284" s="420" t="s">
        <v>351</v>
      </c>
      <c r="C284" s="420" t="s">
        <v>38</v>
      </c>
      <c r="D284" s="423">
        <v>0</v>
      </c>
      <c r="E284" s="423">
        <v>0</v>
      </c>
      <c r="F284" s="423">
        <v>0</v>
      </c>
      <c r="G284" s="423">
        <f t="shared" si="80"/>
        <v>0</v>
      </c>
      <c r="H284" s="422">
        <f t="shared" si="81"/>
        <v>0</v>
      </c>
      <c r="I284" s="423">
        <f t="shared" si="82"/>
        <v>0</v>
      </c>
    </row>
    <row r="285" spans="1:9" x14ac:dyDescent="0.2">
      <c r="A285" s="420" t="s">
        <v>396</v>
      </c>
      <c r="B285" s="420" t="s">
        <v>345</v>
      </c>
      <c r="C285" s="420" t="s">
        <v>38</v>
      </c>
      <c r="D285" s="423">
        <v>13758.21</v>
      </c>
      <c r="E285" s="423">
        <v>3861.24</v>
      </c>
      <c r="F285" s="423">
        <v>111395.58</v>
      </c>
      <c r="G285" s="423">
        <f t="shared" si="80"/>
        <v>129015.03</v>
      </c>
      <c r="H285" s="422">
        <f t="shared" si="81"/>
        <v>4.0329390549329036E-4</v>
      </c>
      <c r="I285" s="423">
        <f t="shared" si="82"/>
        <v>52.010000000009313</v>
      </c>
    </row>
    <row r="286" spans="1:9" x14ac:dyDescent="0.2">
      <c r="A286" s="420" t="s">
        <v>396</v>
      </c>
      <c r="B286" s="420" t="s">
        <v>348</v>
      </c>
      <c r="C286" s="420" t="s">
        <v>38</v>
      </c>
      <c r="D286" s="423">
        <v>44978.52</v>
      </c>
      <c r="E286" s="423">
        <v>33207.660000000003</v>
      </c>
      <c r="F286" s="423">
        <v>488379.43</v>
      </c>
      <c r="G286" s="423">
        <f t="shared" si="80"/>
        <v>566565.61</v>
      </c>
      <c r="H286" s="422">
        <f t="shared" si="81"/>
        <v>1.6432400299034946E-2</v>
      </c>
      <c r="I286" s="423">
        <f t="shared" si="82"/>
        <v>9159.5199999999022</v>
      </c>
    </row>
    <row r="287" spans="1:9" x14ac:dyDescent="0.2">
      <c r="A287" s="420" t="s">
        <v>396</v>
      </c>
      <c r="B287" s="420" t="s">
        <v>348</v>
      </c>
      <c r="C287" s="420" t="s">
        <v>39</v>
      </c>
      <c r="D287" s="423">
        <v>13714.57</v>
      </c>
      <c r="E287" s="423">
        <v>3783.15</v>
      </c>
      <c r="F287" s="423">
        <v>79933.66</v>
      </c>
      <c r="G287" s="423">
        <f t="shared" si="80"/>
        <v>97431.38</v>
      </c>
      <c r="H287" s="422">
        <f t="shared" si="81"/>
        <v>3.0150764115155645E-3</v>
      </c>
      <c r="I287" s="423">
        <f t="shared" si="82"/>
        <v>292.88000000000466</v>
      </c>
    </row>
    <row r="288" spans="1:9" x14ac:dyDescent="0.2">
      <c r="A288" s="420" t="s">
        <v>396</v>
      </c>
      <c r="B288" s="420" t="s">
        <v>350</v>
      </c>
      <c r="C288" s="420" t="s">
        <v>38</v>
      </c>
      <c r="D288" s="423">
        <v>3588.99</v>
      </c>
      <c r="E288" s="423">
        <v>22383.72</v>
      </c>
      <c r="F288" s="423">
        <v>79823.289999999994</v>
      </c>
      <c r="G288" s="423">
        <f t="shared" si="80"/>
        <v>105796</v>
      </c>
      <c r="H288" s="422">
        <f t="shared" si="81"/>
        <v>-6.359973659427734E-2</v>
      </c>
      <c r="I288" s="423">
        <f t="shared" si="82"/>
        <v>-7185.6000000000058</v>
      </c>
    </row>
    <row r="289" spans="1:9" x14ac:dyDescent="0.2">
      <c r="A289" s="420" t="s">
        <v>396</v>
      </c>
      <c r="B289" s="420" t="s">
        <v>350</v>
      </c>
      <c r="C289" s="420" t="s">
        <v>39</v>
      </c>
      <c r="D289" s="423">
        <v>0</v>
      </c>
      <c r="E289" s="423">
        <v>1660.28</v>
      </c>
      <c r="F289" s="423">
        <v>0</v>
      </c>
      <c r="G289" s="423">
        <f t="shared" si="80"/>
        <v>1660.28</v>
      </c>
      <c r="H289" s="422">
        <f t="shared" si="81"/>
        <v>-0.22517477295849325</v>
      </c>
      <c r="I289" s="423">
        <f t="shared" si="82"/>
        <v>-482.50000000000023</v>
      </c>
    </row>
    <row r="290" spans="1:9" x14ac:dyDescent="0.2">
      <c r="G290" s="423">
        <f>SUM(G283:G289)</f>
        <v>900621.03</v>
      </c>
      <c r="H290" s="422">
        <f t="shared" si="81"/>
        <v>2.0901871458196223E-3</v>
      </c>
      <c r="I290" s="423">
        <f t="shared" si="82"/>
        <v>1878.5399999999208</v>
      </c>
    </row>
    <row r="292" spans="1:9" ht="15.75" x14ac:dyDescent="0.25">
      <c r="A292" s="426">
        <v>42704</v>
      </c>
      <c r="B292" s="424" t="s">
        <v>343</v>
      </c>
      <c r="C292" s="424" t="s">
        <v>33</v>
      </c>
      <c r="D292" s="424" t="s">
        <v>34</v>
      </c>
      <c r="E292" s="424" t="s">
        <v>35</v>
      </c>
      <c r="F292" s="424" t="s">
        <v>103</v>
      </c>
      <c r="G292" s="425" t="s">
        <v>9</v>
      </c>
    </row>
    <row r="293" spans="1:9" x14ac:dyDescent="0.2">
      <c r="A293" s="420" t="s">
        <v>396</v>
      </c>
      <c r="B293" s="420" t="s">
        <v>21</v>
      </c>
      <c r="C293" s="420" t="s">
        <v>38</v>
      </c>
      <c r="D293" s="423">
        <v>328.32</v>
      </c>
      <c r="E293" s="423">
        <v>37.61</v>
      </c>
      <c r="F293" s="423">
        <v>27.46</v>
      </c>
      <c r="G293" s="423">
        <f t="shared" ref="G293:G299" si="83">SUM(D293:F293)</f>
        <v>393.39</v>
      </c>
      <c r="H293" s="422">
        <f t="shared" ref="H293:H300" si="84">IF(G283&gt;0,(G293-G283)/G283,0)</f>
        <v>1.5757218621096047</v>
      </c>
      <c r="I293" s="423">
        <f t="shared" ref="I293:I300" si="85">G293-G283</f>
        <v>240.65999999999997</v>
      </c>
    </row>
    <row r="294" spans="1:9" x14ac:dyDescent="0.2">
      <c r="A294" s="420" t="s">
        <v>396</v>
      </c>
      <c r="B294" s="420" t="s">
        <v>351</v>
      </c>
      <c r="C294" s="420" t="s">
        <v>38</v>
      </c>
      <c r="D294" s="423">
        <v>0</v>
      </c>
      <c r="E294" s="423">
        <v>0</v>
      </c>
      <c r="F294" s="423">
        <v>0</v>
      </c>
      <c r="G294" s="423">
        <f t="shared" si="83"/>
        <v>0</v>
      </c>
      <c r="H294" s="422">
        <f t="shared" si="84"/>
        <v>0</v>
      </c>
      <c r="I294" s="423">
        <f t="shared" si="85"/>
        <v>0</v>
      </c>
    </row>
    <row r="295" spans="1:9" x14ac:dyDescent="0.2">
      <c r="A295" s="420" t="s">
        <v>396</v>
      </c>
      <c r="B295" s="420" t="s">
        <v>345</v>
      </c>
      <c r="C295" s="420" t="s">
        <v>38</v>
      </c>
      <c r="D295" s="423">
        <v>14649.71</v>
      </c>
      <c r="E295" s="423">
        <v>4510.6400000000003</v>
      </c>
      <c r="F295" s="423">
        <v>113316.92</v>
      </c>
      <c r="G295" s="423">
        <f t="shared" si="83"/>
        <v>132477.26999999999</v>
      </c>
      <c r="H295" s="422">
        <f t="shared" si="84"/>
        <v>2.6835943068028514E-2</v>
      </c>
      <c r="I295" s="423">
        <f t="shared" si="85"/>
        <v>3462.2399999999907</v>
      </c>
    </row>
    <row r="296" spans="1:9" x14ac:dyDescent="0.2">
      <c r="A296" s="420" t="s">
        <v>396</v>
      </c>
      <c r="B296" s="420" t="s">
        <v>348</v>
      </c>
      <c r="C296" s="420" t="s">
        <v>38</v>
      </c>
      <c r="D296" s="423">
        <v>67448.62</v>
      </c>
      <c r="E296" s="423">
        <v>32400.14</v>
      </c>
      <c r="F296" s="423">
        <v>480932.21</v>
      </c>
      <c r="G296" s="423">
        <f t="shared" si="83"/>
        <v>580780.97</v>
      </c>
      <c r="H296" s="422">
        <f t="shared" si="84"/>
        <v>2.509040391632663E-2</v>
      </c>
      <c r="I296" s="423">
        <f t="shared" si="85"/>
        <v>14215.359999999986</v>
      </c>
    </row>
    <row r="297" spans="1:9" x14ac:dyDescent="0.2">
      <c r="A297" s="420" t="s">
        <v>396</v>
      </c>
      <c r="B297" s="420" t="s">
        <v>348</v>
      </c>
      <c r="C297" s="420" t="s">
        <v>39</v>
      </c>
      <c r="D297" s="423">
        <v>26846.05</v>
      </c>
      <c r="E297" s="423">
        <v>11014.56</v>
      </c>
      <c r="F297" s="423">
        <v>73680.289999999994</v>
      </c>
      <c r="G297" s="423">
        <f t="shared" si="83"/>
        <v>111540.9</v>
      </c>
      <c r="H297" s="422">
        <f t="shared" si="84"/>
        <v>0.14481494565713826</v>
      </c>
      <c r="I297" s="423">
        <f t="shared" si="85"/>
        <v>14109.51999999999</v>
      </c>
    </row>
    <row r="298" spans="1:9" x14ac:dyDescent="0.2">
      <c r="A298" s="420" t="s">
        <v>396</v>
      </c>
      <c r="B298" s="420" t="s">
        <v>350</v>
      </c>
      <c r="C298" s="420" t="s">
        <v>38</v>
      </c>
      <c r="D298" s="423">
        <v>32345.03</v>
      </c>
      <c r="E298" s="423">
        <v>2549.2399999999998</v>
      </c>
      <c r="F298" s="423">
        <v>94197.35</v>
      </c>
      <c r="G298" s="423">
        <f t="shared" si="83"/>
        <v>129091.62</v>
      </c>
      <c r="H298" s="422">
        <f t="shared" si="84"/>
        <v>0.22019376914061017</v>
      </c>
      <c r="I298" s="423">
        <f t="shared" si="85"/>
        <v>23295.619999999995</v>
      </c>
    </row>
    <row r="299" spans="1:9" x14ac:dyDescent="0.2">
      <c r="A299" s="420" t="s">
        <v>396</v>
      </c>
      <c r="B299" s="420" t="s">
        <v>350</v>
      </c>
      <c r="C299" s="420" t="s">
        <v>39</v>
      </c>
      <c r="D299" s="423">
        <v>1726.22</v>
      </c>
      <c r="E299" s="423">
        <v>0</v>
      </c>
      <c r="F299" s="423">
        <v>1177.25</v>
      </c>
      <c r="G299" s="423">
        <f t="shared" si="83"/>
        <v>2903.4700000000003</v>
      </c>
      <c r="H299" s="422">
        <f t="shared" si="84"/>
        <v>0.74878333775025918</v>
      </c>
      <c r="I299" s="423">
        <f t="shared" si="85"/>
        <v>1243.1900000000003</v>
      </c>
    </row>
    <row r="300" spans="1:9" x14ac:dyDescent="0.2">
      <c r="G300" s="423">
        <f>SUM(G293:G299)</f>
        <v>957187.62</v>
      </c>
      <c r="H300" s="422">
        <f t="shared" si="84"/>
        <v>6.280842675858897E-2</v>
      </c>
      <c r="I300" s="423">
        <f t="shared" si="85"/>
        <v>56566.589999999967</v>
      </c>
    </row>
    <row r="302" spans="1:9" ht="15.75" x14ac:dyDescent="0.25">
      <c r="A302" s="426">
        <v>42735</v>
      </c>
      <c r="B302" s="424" t="s">
        <v>343</v>
      </c>
      <c r="C302" s="424" t="s">
        <v>33</v>
      </c>
      <c r="D302" s="424" t="s">
        <v>34</v>
      </c>
      <c r="E302" s="424" t="s">
        <v>35</v>
      </c>
      <c r="F302" s="424" t="s">
        <v>103</v>
      </c>
      <c r="G302" s="425" t="s">
        <v>9</v>
      </c>
    </row>
    <row r="303" spans="1:9" x14ac:dyDescent="0.2">
      <c r="A303" s="420" t="s">
        <v>396</v>
      </c>
      <c r="B303" s="420" t="s">
        <v>21</v>
      </c>
      <c r="C303" s="420" t="s">
        <v>38</v>
      </c>
      <c r="D303" s="423">
        <v>69061.98</v>
      </c>
      <c r="E303" s="423">
        <v>0</v>
      </c>
      <c r="F303" s="423">
        <v>44.55</v>
      </c>
      <c r="G303" s="423">
        <f t="shared" ref="G303:G309" si="86">SUM(D303:F303)</f>
        <v>69106.53</v>
      </c>
      <c r="H303" s="422">
        <f t="shared" ref="H303:H310" si="87">IF(G293&gt;0,(G303-G293)/G293,0)</f>
        <v>174.66925951345993</v>
      </c>
      <c r="I303" s="423">
        <f t="shared" ref="I303:I310" si="88">G303-G293</f>
        <v>68713.14</v>
      </c>
    </row>
    <row r="304" spans="1:9" x14ac:dyDescent="0.2">
      <c r="A304" s="420" t="s">
        <v>396</v>
      </c>
      <c r="B304" s="420" t="s">
        <v>351</v>
      </c>
      <c r="C304" s="420" t="s">
        <v>38</v>
      </c>
      <c r="D304" s="423">
        <v>0</v>
      </c>
      <c r="E304" s="423">
        <v>0</v>
      </c>
      <c r="F304" s="423">
        <v>0</v>
      </c>
      <c r="G304" s="423">
        <f t="shared" si="86"/>
        <v>0</v>
      </c>
      <c r="H304" s="422">
        <f t="shared" si="87"/>
        <v>0</v>
      </c>
      <c r="I304" s="423">
        <f t="shared" si="88"/>
        <v>0</v>
      </c>
    </row>
    <row r="305" spans="1:9" x14ac:dyDescent="0.2">
      <c r="A305" s="420" t="s">
        <v>396</v>
      </c>
      <c r="B305" s="420" t="s">
        <v>345</v>
      </c>
      <c r="C305" s="420" t="s">
        <v>38</v>
      </c>
      <c r="D305" s="423">
        <v>4788.1899999999996</v>
      </c>
      <c r="E305" s="423">
        <v>13103.76</v>
      </c>
      <c r="F305" s="423">
        <v>114643.07</v>
      </c>
      <c r="G305" s="423">
        <f>SUM(D305:F305)</f>
        <v>132535.02000000002</v>
      </c>
      <c r="H305" s="422">
        <f t="shared" si="87"/>
        <v>4.359238381046734E-4</v>
      </c>
      <c r="I305" s="423">
        <f t="shared" si="88"/>
        <v>57.750000000029104</v>
      </c>
    </row>
    <row r="306" spans="1:9" x14ac:dyDescent="0.2">
      <c r="A306" s="420" t="s">
        <v>396</v>
      </c>
      <c r="B306" s="420" t="s">
        <v>348</v>
      </c>
      <c r="C306" s="420" t="s">
        <v>38</v>
      </c>
      <c r="D306" s="423">
        <v>43248.03</v>
      </c>
      <c r="E306" s="423">
        <v>49162.58</v>
      </c>
      <c r="F306" s="423">
        <v>489548.81</v>
      </c>
      <c r="G306" s="423">
        <f t="shared" si="86"/>
        <v>581959.42000000004</v>
      </c>
      <c r="H306" s="422">
        <f t="shared" si="87"/>
        <v>2.0290781910434668E-3</v>
      </c>
      <c r="I306" s="423">
        <f t="shared" si="88"/>
        <v>1178.4500000000698</v>
      </c>
    </row>
    <row r="307" spans="1:9" x14ac:dyDescent="0.2">
      <c r="A307" s="420" t="s">
        <v>396</v>
      </c>
      <c r="B307" s="420" t="s">
        <v>348</v>
      </c>
      <c r="C307" s="420" t="s">
        <v>39</v>
      </c>
      <c r="D307" s="423">
        <v>7398.3</v>
      </c>
      <c r="E307" s="423">
        <v>20854.09</v>
      </c>
      <c r="F307" s="423">
        <v>76012.88</v>
      </c>
      <c r="G307" s="423">
        <f t="shared" si="86"/>
        <v>104265.27</v>
      </c>
      <c r="H307" s="422">
        <f t="shared" si="87"/>
        <v>-6.5228360179987704E-2</v>
      </c>
      <c r="I307" s="423">
        <f t="shared" si="88"/>
        <v>-7275.6299999999901</v>
      </c>
    </row>
    <row r="308" spans="1:9" x14ac:dyDescent="0.2">
      <c r="A308" s="420" t="s">
        <v>396</v>
      </c>
      <c r="B308" s="420" t="s">
        <v>350</v>
      </c>
      <c r="C308" s="420" t="s">
        <v>38</v>
      </c>
      <c r="D308" s="423">
        <v>5233.4799999999996</v>
      </c>
      <c r="E308" s="423">
        <v>25964.32</v>
      </c>
      <c r="F308" s="423">
        <v>87676.97</v>
      </c>
      <c r="G308" s="423">
        <f t="shared" si="86"/>
        <v>118874.77</v>
      </c>
      <c r="H308" s="422">
        <f t="shared" si="87"/>
        <v>-7.914417682573037E-2</v>
      </c>
      <c r="I308" s="423">
        <f t="shared" si="88"/>
        <v>-10216.849999999991</v>
      </c>
    </row>
    <row r="309" spans="1:9" x14ac:dyDescent="0.2">
      <c r="A309" s="420" t="s">
        <v>396</v>
      </c>
      <c r="B309" s="420" t="s">
        <v>350</v>
      </c>
      <c r="C309" s="420" t="s">
        <v>39</v>
      </c>
      <c r="D309" s="423">
        <v>0</v>
      </c>
      <c r="E309" s="423">
        <v>1726.22</v>
      </c>
      <c r="F309" s="423">
        <v>691.3</v>
      </c>
      <c r="G309" s="423">
        <f t="shared" si="86"/>
        <v>2417.52</v>
      </c>
      <c r="H309" s="422">
        <f t="shared" si="87"/>
        <v>-0.16736870021043793</v>
      </c>
      <c r="I309" s="423">
        <f t="shared" si="88"/>
        <v>-485.95000000000027</v>
      </c>
    </row>
    <row r="310" spans="1:9" x14ac:dyDescent="0.2">
      <c r="G310" s="423">
        <f>SUM(G303:G309)</f>
        <v>1009158.5300000001</v>
      </c>
      <c r="H310" s="422">
        <f t="shared" si="87"/>
        <v>5.4295426428519991E-2</v>
      </c>
      <c r="I310" s="423">
        <f t="shared" si="88"/>
        <v>51970.910000000149</v>
      </c>
    </row>
    <row r="312" spans="1:9" ht="15.75" x14ac:dyDescent="0.25">
      <c r="A312" s="426">
        <v>42766</v>
      </c>
      <c r="B312" s="424" t="s">
        <v>343</v>
      </c>
      <c r="C312" s="424" t="s">
        <v>33</v>
      </c>
      <c r="D312" s="424" t="s">
        <v>34</v>
      </c>
      <c r="E312" s="424" t="s">
        <v>35</v>
      </c>
      <c r="F312" s="424" t="s">
        <v>103</v>
      </c>
      <c r="G312" s="425" t="s">
        <v>9</v>
      </c>
    </row>
    <row r="313" spans="1:9" x14ac:dyDescent="0.2">
      <c r="A313" s="420" t="s">
        <v>396</v>
      </c>
      <c r="B313" s="420" t="s">
        <v>21</v>
      </c>
      <c r="C313" s="420" t="s">
        <v>38</v>
      </c>
      <c r="D313" s="423">
        <v>4.72</v>
      </c>
      <c r="E313" s="423">
        <v>0.52</v>
      </c>
      <c r="F313" s="423">
        <v>6.21</v>
      </c>
      <c r="G313" s="423">
        <f t="shared" ref="G313:G319" si="89">SUM(D313:F313)</f>
        <v>11.45</v>
      </c>
      <c r="H313" s="422">
        <f t="shared" ref="H313:H320" si="90">IF(G303&gt;0,(G313-G303)/G303,0)</f>
        <v>-0.99983431377613663</v>
      </c>
      <c r="I313" s="423">
        <f t="shared" ref="I313:I320" si="91">G313-G303</f>
        <v>-69095.08</v>
      </c>
    </row>
    <row r="314" spans="1:9" x14ac:dyDescent="0.2">
      <c r="A314" s="420" t="s">
        <v>396</v>
      </c>
      <c r="B314" s="420" t="s">
        <v>351</v>
      </c>
      <c r="C314" s="420" t="s">
        <v>38</v>
      </c>
      <c r="D314" s="423">
        <v>0</v>
      </c>
      <c r="E314" s="423">
        <v>0</v>
      </c>
      <c r="F314" s="423">
        <v>0</v>
      </c>
      <c r="G314" s="423">
        <f t="shared" si="89"/>
        <v>0</v>
      </c>
      <c r="H314" s="422">
        <f t="shared" si="90"/>
        <v>0</v>
      </c>
      <c r="I314" s="423">
        <f t="shared" si="91"/>
        <v>0</v>
      </c>
    </row>
    <row r="315" spans="1:9" x14ac:dyDescent="0.2">
      <c r="A315" s="420" t="s">
        <v>396</v>
      </c>
      <c r="B315" s="420" t="s">
        <v>345</v>
      </c>
      <c r="C315" s="420" t="s">
        <v>38</v>
      </c>
      <c r="D315" s="423">
        <v>6497.41</v>
      </c>
      <c r="E315" s="423">
        <v>4004.19</v>
      </c>
      <c r="F315" s="423">
        <v>121572.76</v>
      </c>
      <c r="G315" s="423">
        <f>SUM(D315:F315)</f>
        <v>132074.35999999999</v>
      </c>
      <c r="H315" s="422">
        <f t="shared" si="90"/>
        <v>-3.4757605951999141E-3</v>
      </c>
      <c r="I315" s="423">
        <f>G315-G305</f>
        <v>-460.6600000000326</v>
      </c>
    </row>
    <row r="316" spans="1:9" x14ac:dyDescent="0.2">
      <c r="A316" s="420" t="s">
        <v>396</v>
      </c>
      <c r="B316" s="420" t="s">
        <v>348</v>
      </c>
      <c r="C316" s="420" t="s">
        <v>38</v>
      </c>
      <c r="D316" s="423">
        <v>44669.05</v>
      </c>
      <c r="E316" s="423">
        <v>36083.410000000003</v>
      </c>
      <c r="F316" s="423">
        <v>503927.56</v>
      </c>
      <c r="G316" s="423">
        <f t="shared" si="89"/>
        <v>584680.02</v>
      </c>
      <c r="H316" s="422">
        <f t="shared" si="90"/>
        <v>4.674896404288767E-3</v>
      </c>
      <c r="I316" s="423">
        <f t="shared" si="91"/>
        <v>2720.5999999999767</v>
      </c>
    </row>
    <row r="317" spans="1:9" x14ac:dyDescent="0.2">
      <c r="A317" s="420" t="s">
        <v>396</v>
      </c>
      <c r="B317" s="420" t="s">
        <v>348</v>
      </c>
      <c r="C317" s="420" t="s">
        <v>39</v>
      </c>
      <c r="D317" s="423">
        <v>22747.31</v>
      </c>
      <c r="E317" s="423">
        <v>6459.31</v>
      </c>
      <c r="F317" s="423">
        <v>87036.74</v>
      </c>
      <c r="G317" s="423">
        <f t="shared" si="89"/>
        <v>116243.36000000002</v>
      </c>
      <c r="H317" s="422">
        <f t="shared" si="90"/>
        <v>0.11488091864146144</v>
      </c>
      <c r="I317" s="423">
        <f t="shared" si="91"/>
        <v>11978.090000000011</v>
      </c>
    </row>
    <row r="318" spans="1:9" x14ac:dyDescent="0.2">
      <c r="A318" s="420" t="s">
        <v>396</v>
      </c>
      <c r="B318" s="420" t="s">
        <v>350</v>
      </c>
      <c r="C318" s="420" t="s">
        <v>38</v>
      </c>
      <c r="D318" s="423">
        <v>2018.58</v>
      </c>
      <c r="E318" s="423">
        <v>4963.12</v>
      </c>
      <c r="F318" s="423">
        <v>104095.12</v>
      </c>
      <c r="G318" s="423">
        <f t="shared" si="89"/>
        <v>111076.81999999999</v>
      </c>
      <c r="H318" s="422">
        <f t="shared" si="90"/>
        <v>-6.5598023869993707E-2</v>
      </c>
      <c r="I318" s="423">
        <f t="shared" si="91"/>
        <v>-7797.9500000000116</v>
      </c>
    </row>
    <row r="319" spans="1:9" x14ac:dyDescent="0.2">
      <c r="A319" s="420" t="s">
        <v>396</v>
      </c>
      <c r="B319" s="420" t="s">
        <v>350</v>
      </c>
      <c r="C319" s="420" t="s">
        <v>39</v>
      </c>
      <c r="D319" s="423">
        <v>0</v>
      </c>
      <c r="E319" s="423">
        <v>0</v>
      </c>
      <c r="F319" s="423">
        <v>1942.06</v>
      </c>
      <c r="G319" s="423">
        <f t="shared" si="89"/>
        <v>1942.06</v>
      </c>
      <c r="H319" s="422">
        <f t="shared" si="90"/>
        <v>-0.19667262318408948</v>
      </c>
      <c r="I319" s="423">
        <f t="shared" si="91"/>
        <v>-475.46000000000004</v>
      </c>
    </row>
    <row r="320" spans="1:9" x14ac:dyDescent="0.2">
      <c r="G320" s="423">
        <f>SUM(G313:G319)</f>
        <v>946028.07000000007</v>
      </c>
      <c r="H320" s="422">
        <f t="shared" si="90"/>
        <v>-6.2557525030284458E-2</v>
      </c>
      <c r="I320" s="423">
        <f t="shared" si="91"/>
        <v>-63130.460000000079</v>
      </c>
    </row>
    <row r="323" spans="1:9" ht="15.75" x14ac:dyDescent="0.25">
      <c r="A323" s="426">
        <v>42794</v>
      </c>
      <c r="B323" s="424" t="s">
        <v>343</v>
      </c>
      <c r="C323" s="424" t="s">
        <v>33</v>
      </c>
      <c r="D323" s="424" t="s">
        <v>34</v>
      </c>
      <c r="E323" s="424" t="s">
        <v>35</v>
      </c>
      <c r="F323" s="424" t="s">
        <v>103</v>
      </c>
      <c r="G323" s="425" t="s">
        <v>9</v>
      </c>
    </row>
    <row r="324" spans="1:9" x14ac:dyDescent="0.2">
      <c r="A324" s="420" t="s">
        <v>396</v>
      </c>
      <c r="B324" s="420" t="s">
        <v>21</v>
      </c>
      <c r="C324" s="420" t="s">
        <v>38</v>
      </c>
      <c r="D324" s="423">
        <v>9898.0300000000007</v>
      </c>
      <c r="E324" s="423">
        <v>2.86</v>
      </c>
      <c r="F324" s="423">
        <v>1.97</v>
      </c>
      <c r="G324" s="423">
        <f t="shared" ref="G324:G330" si="92">SUM(D324:F324)</f>
        <v>9902.86</v>
      </c>
      <c r="H324" s="422">
        <f t="shared" ref="H324:H330" si="93">IF(G314&gt;0,(G324-G314)/G314,0)</f>
        <v>0</v>
      </c>
      <c r="I324" s="423">
        <f t="shared" ref="I324:I331" si="94">G324-G314</f>
        <v>9902.86</v>
      </c>
    </row>
    <row r="325" spans="1:9" x14ac:dyDescent="0.2">
      <c r="A325" s="420" t="s">
        <v>396</v>
      </c>
      <c r="B325" s="420" t="s">
        <v>351</v>
      </c>
      <c r="C325" s="420" t="s">
        <v>38</v>
      </c>
      <c r="D325" s="423">
        <v>649.12</v>
      </c>
      <c r="E325" s="423">
        <v>0</v>
      </c>
      <c r="F325" s="423">
        <v>0</v>
      </c>
      <c r="G325" s="423">
        <f t="shared" si="92"/>
        <v>649.12</v>
      </c>
      <c r="H325" s="422">
        <f t="shared" si="93"/>
        <v>-0.99508519291708097</v>
      </c>
      <c r="I325" s="423">
        <f t="shared" si="94"/>
        <v>-131425.24</v>
      </c>
    </row>
    <row r="326" spans="1:9" x14ac:dyDescent="0.2">
      <c r="A326" s="420" t="s">
        <v>396</v>
      </c>
      <c r="B326" s="420" t="s">
        <v>345</v>
      </c>
      <c r="C326" s="420" t="s">
        <v>38</v>
      </c>
      <c r="D326" s="423">
        <v>27456.639999999999</v>
      </c>
      <c r="E326" s="423">
        <v>3437.19</v>
      </c>
      <c r="F326" s="423">
        <v>121057.05</v>
      </c>
      <c r="G326" s="423">
        <f t="shared" si="92"/>
        <v>151950.88</v>
      </c>
      <c r="H326" s="422">
        <f t="shared" si="93"/>
        <v>-0.74011275432329637</v>
      </c>
      <c r="I326" s="423">
        <f t="shared" si="94"/>
        <v>-432729.14</v>
      </c>
    </row>
    <row r="327" spans="1:9" x14ac:dyDescent="0.2">
      <c r="A327" s="420" t="s">
        <v>396</v>
      </c>
      <c r="B327" s="420" t="s">
        <v>348</v>
      </c>
      <c r="C327" s="420" t="s">
        <v>38</v>
      </c>
      <c r="D327" s="423">
        <v>73679.47</v>
      </c>
      <c r="E327" s="423">
        <v>27093.1</v>
      </c>
      <c r="F327" s="423">
        <v>510543.46</v>
      </c>
      <c r="G327" s="423">
        <f t="shared" si="92"/>
        <v>611316.03</v>
      </c>
      <c r="H327" s="422">
        <f t="shared" si="93"/>
        <v>4.258932897328501</v>
      </c>
      <c r="I327" s="423">
        <f t="shared" si="94"/>
        <v>495072.67000000004</v>
      </c>
    </row>
    <row r="328" spans="1:9" x14ac:dyDescent="0.2">
      <c r="A328" s="420" t="s">
        <v>396</v>
      </c>
      <c r="B328" s="420" t="s">
        <v>348</v>
      </c>
      <c r="C328" s="420" t="s">
        <v>39</v>
      </c>
      <c r="D328" s="423">
        <v>31546.1</v>
      </c>
      <c r="E328" s="423">
        <v>14671.79</v>
      </c>
      <c r="F328" s="423">
        <v>78014.98</v>
      </c>
      <c r="G328" s="423">
        <f t="shared" si="92"/>
        <v>124232.87</v>
      </c>
      <c r="H328" s="422">
        <f t="shared" si="93"/>
        <v>0.11844100326242689</v>
      </c>
      <c r="I328" s="423">
        <f t="shared" si="94"/>
        <v>13156.050000000003</v>
      </c>
    </row>
    <row r="329" spans="1:9" x14ac:dyDescent="0.2">
      <c r="A329" s="420" t="s">
        <v>396</v>
      </c>
      <c r="B329" s="420" t="s">
        <v>350</v>
      </c>
      <c r="C329" s="420" t="s">
        <v>38</v>
      </c>
      <c r="D329" s="423">
        <v>24744.74</v>
      </c>
      <c r="E329" s="423">
        <v>1920.24</v>
      </c>
      <c r="F329" s="423">
        <v>100622.39999999999</v>
      </c>
      <c r="G329" s="423">
        <f t="shared" si="92"/>
        <v>127287.38</v>
      </c>
      <c r="H329" s="422">
        <f t="shared" si="93"/>
        <v>64.542454919003532</v>
      </c>
      <c r="I329" s="423">
        <f t="shared" si="94"/>
        <v>125345.32</v>
      </c>
    </row>
    <row r="330" spans="1:9" x14ac:dyDescent="0.2">
      <c r="A330" s="420" t="s">
        <v>396</v>
      </c>
      <c r="B330" s="420" t="s">
        <v>350</v>
      </c>
      <c r="C330" s="420" t="s">
        <v>39</v>
      </c>
      <c r="D330" s="423">
        <v>1451.1</v>
      </c>
      <c r="E330" s="423">
        <v>0</v>
      </c>
      <c r="F330" s="423">
        <v>1454.9</v>
      </c>
      <c r="G330" s="423">
        <f t="shared" si="92"/>
        <v>2906</v>
      </c>
      <c r="H330" s="422">
        <f t="shared" si="93"/>
        <v>-0.99692820954033634</v>
      </c>
      <c r="I330" s="423">
        <f t="shared" si="94"/>
        <v>-943122.07000000007</v>
      </c>
    </row>
    <row r="331" spans="1:9" x14ac:dyDescent="0.2">
      <c r="G331" s="423">
        <f>SUM(G324:G330)</f>
        <v>1028245.14</v>
      </c>
      <c r="H331" s="422">
        <f>IF(G321&gt;0,(G331-G321)/G321,0)</f>
        <v>0</v>
      </c>
      <c r="I331" s="423">
        <f t="shared" si="94"/>
        <v>1028245.14</v>
      </c>
    </row>
    <row r="333" spans="1:9" ht="15.75" x14ac:dyDescent="0.25">
      <c r="A333" s="426">
        <v>42825</v>
      </c>
      <c r="B333" s="424" t="s">
        <v>343</v>
      </c>
      <c r="C333" s="424" t="s">
        <v>33</v>
      </c>
      <c r="D333" s="424" t="s">
        <v>34</v>
      </c>
      <c r="E333" s="424" t="s">
        <v>35</v>
      </c>
      <c r="F333" s="424" t="s">
        <v>103</v>
      </c>
      <c r="G333" s="425" t="s">
        <v>9</v>
      </c>
    </row>
    <row r="334" spans="1:9" x14ac:dyDescent="0.2">
      <c r="A334" s="420" t="s">
        <v>396</v>
      </c>
      <c r="B334" s="420" t="s">
        <v>21</v>
      </c>
      <c r="C334" s="420" t="s">
        <v>38</v>
      </c>
      <c r="D334" s="423">
        <v>184.97</v>
      </c>
      <c r="E334" s="423">
        <v>2.1800000000000002</v>
      </c>
      <c r="F334" s="423">
        <v>4.83</v>
      </c>
      <c r="G334" s="423">
        <f t="shared" ref="G334:G340" si="95">SUM(D334:F334)</f>
        <v>191.98000000000002</v>
      </c>
      <c r="H334" s="422">
        <f t="shared" ref="H334:H341" si="96">IF(G324&gt;0,(G334-G324)/G324,0)</f>
        <v>-0.9806136813001497</v>
      </c>
      <c r="I334" s="423">
        <f t="shared" ref="I334:I341" si="97">G334-G324</f>
        <v>-9710.880000000001</v>
      </c>
    </row>
    <row r="335" spans="1:9" x14ac:dyDescent="0.2">
      <c r="A335" s="420" t="s">
        <v>396</v>
      </c>
      <c r="B335" s="420" t="s">
        <v>351</v>
      </c>
      <c r="C335" s="420" t="s">
        <v>38</v>
      </c>
      <c r="D335" s="423">
        <v>0</v>
      </c>
      <c r="E335" s="423">
        <v>649.12</v>
      </c>
      <c r="F335" s="423">
        <v>0</v>
      </c>
      <c r="G335" s="423">
        <f t="shared" si="95"/>
        <v>649.12</v>
      </c>
      <c r="H335" s="422">
        <f t="shared" si="96"/>
        <v>0</v>
      </c>
      <c r="I335" s="423">
        <f t="shared" si="97"/>
        <v>0</v>
      </c>
    </row>
    <row r="336" spans="1:9" x14ac:dyDescent="0.2">
      <c r="A336" s="420" t="s">
        <v>396</v>
      </c>
      <c r="B336" s="420" t="s">
        <v>345</v>
      </c>
      <c r="C336" s="420" t="s">
        <v>38</v>
      </c>
      <c r="D336" s="423">
        <v>4612.28</v>
      </c>
      <c r="E336" s="423">
        <v>20419.3</v>
      </c>
      <c r="F336" s="423">
        <v>122186.6</v>
      </c>
      <c r="G336" s="423">
        <f t="shared" si="95"/>
        <v>147218.18</v>
      </c>
      <c r="H336" s="422">
        <f t="shared" si="96"/>
        <v>-3.1146249366900747E-2</v>
      </c>
      <c r="I336" s="423">
        <f t="shared" si="97"/>
        <v>-4732.7000000000116</v>
      </c>
    </row>
    <row r="337" spans="1:9" x14ac:dyDescent="0.2">
      <c r="A337" s="420" t="s">
        <v>396</v>
      </c>
      <c r="B337" s="420" t="s">
        <v>348</v>
      </c>
      <c r="C337" s="420" t="s">
        <v>38</v>
      </c>
      <c r="D337" s="423">
        <v>37865.75</v>
      </c>
      <c r="E337" s="423">
        <v>54507.9</v>
      </c>
      <c r="F337" s="423">
        <v>492783.27</v>
      </c>
      <c r="G337" s="423">
        <f t="shared" si="95"/>
        <v>585156.92000000004</v>
      </c>
      <c r="H337" s="422">
        <f t="shared" si="96"/>
        <v>-4.2791467450968013E-2</v>
      </c>
      <c r="I337" s="423">
        <f t="shared" si="97"/>
        <v>-26159.109999999986</v>
      </c>
    </row>
    <row r="338" spans="1:9" x14ac:dyDescent="0.2">
      <c r="A338" s="420" t="s">
        <v>396</v>
      </c>
      <c r="B338" s="420" t="s">
        <v>348</v>
      </c>
      <c r="C338" s="420" t="s">
        <v>39</v>
      </c>
      <c r="D338" s="423">
        <v>7987.59</v>
      </c>
      <c r="E338" s="423">
        <v>25114.18</v>
      </c>
      <c r="F338" s="423">
        <v>80290.53</v>
      </c>
      <c r="G338" s="423">
        <f t="shared" si="95"/>
        <v>113392.3</v>
      </c>
      <c r="H338" s="422">
        <f t="shared" si="96"/>
        <v>-8.726007859272665E-2</v>
      </c>
      <c r="I338" s="423">
        <f t="shared" si="97"/>
        <v>-10840.569999999992</v>
      </c>
    </row>
    <row r="339" spans="1:9" x14ac:dyDescent="0.2">
      <c r="A339" s="420" t="s">
        <v>396</v>
      </c>
      <c r="B339" s="420" t="s">
        <v>350</v>
      </c>
      <c r="C339" s="420" t="s">
        <v>38</v>
      </c>
      <c r="D339" s="423">
        <v>2906.94</v>
      </c>
      <c r="E339" s="423">
        <v>20350.7</v>
      </c>
      <c r="F339" s="423">
        <v>89016.83</v>
      </c>
      <c r="G339" s="423">
        <f t="shared" si="95"/>
        <v>112274.47</v>
      </c>
      <c r="H339" s="422">
        <f t="shared" si="96"/>
        <v>-0.11794499973210229</v>
      </c>
      <c r="I339" s="423">
        <f t="shared" si="97"/>
        <v>-15012.910000000003</v>
      </c>
    </row>
    <row r="340" spans="1:9" x14ac:dyDescent="0.2">
      <c r="A340" s="420" t="s">
        <v>396</v>
      </c>
      <c r="B340" s="420" t="s">
        <v>350</v>
      </c>
      <c r="C340" s="420" t="s">
        <v>39</v>
      </c>
      <c r="D340" s="423">
        <v>0</v>
      </c>
      <c r="E340" s="423">
        <v>1451.1</v>
      </c>
      <c r="F340" s="423">
        <v>968.49</v>
      </c>
      <c r="G340" s="423">
        <f t="shared" si="95"/>
        <v>2419.59</v>
      </c>
      <c r="H340" s="422">
        <f t="shared" si="96"/>
        <v>-0.16738128011011694</v>
      </c>
      <c r="I340" s="423">
        <f t="shared" si="97"/>
        <v>-486.40999999999985</v>
      </c>
    </row>
    <row r="341" spans="1:9" x14ac:dyDescent="0.2">
      <c r="G341" s="423">
        <f>SUM(G334:G340)</f>
        <v>961302.56</v>
      </c>
      <c r="H341" s="422">
        <f t="shared" si="96"/>
        <v>-6.5103716415328694E-2</v>
      </c>
      <c r="I341" s="423">
        <f t="shared" si="97"/>
        <v>-66942.579999999958</v>
      </c>
    </row>
    <row r="343" spans="1:9" ht="15.75" x14ac:dyDescent="0.25">
      <c r="A343" s="426">
        <v>42855</v>
      </c>
      <c r="B343" s="424" t="s">
        <v>343</v>
      </c>
      <c r="C343" s="424" t="s">
        <v>33</v>
      </c>
      <c r="D343" s="424" t="s">
        <v>34</v>
      </c>
      <c r="E343" s="424" t="s">
        <v>35</v>
      </c>
      <c r="F343" s="424" t="s">
        <v>103</v>
      </c>
      <c r="G343" s="425" t="s">
        <v>9</v>
      </c>
    </row>
    <row r="344" spans="1:9" x14ac:dyDescent="0.2">
      <c r="A344" s="420" t="s">
        <v>396</v>
      </c>
      <c r="B344" s="420" t="s">
        <v>21</v>
      </c>
      <c r="C344" s="420" t="s">
        <v>38</v>
      </c>
      <c r="D344" s="423">
        <v>2792.69</v>
      </c>
      <c r="E344" s="423">
        <v>3.67</v>
      </c>
      <c r="F344" s="423">
        <v>2.54</v>
      </c>
      <c r="G344" s="423">
        <f t="shared" ref="G344:G350" si="98">SUM(D344:F344)</f>
        <v>2798.9</v>
      </c>
      <c r="H344" s="422">
        <f t="shared" ref="H344:H351" si="99">IF(G324&gt;0,(G344-G324)/G324,0)</f>
        <v>-0.71736447854458207</v>
      </c>
      <c r="I344" s="423">
        <f t="shared" ref="I344:I351" si="100">G344-G324</f>
        <v>-7103.9600000000009</v>
      </c>
    </row>
    <row r="345" spans="1:9" x14ac:dyDescent="0.2">
      <c r="A345" s="420" t="s">
        <v>396</v>
      </c>
      <c r="B345" s="420" t="s">
        <v>351</v>
      </c>
      <c r="C345" s="420" t="s">
        <v>38</v>
      </c>
      <c r="D345" s="423">
        <v>0</v>
      </c>
      <c r="E345" s="423">
        <v>0</v>
      </c>
      <c r="F345" s="423">
        <v>649.12</v>
      </c>
      <c r="G345" s="423">
        <f t="shared" si="98"/>
        <v>649.12</v>
      </c>
      <c r="H345" s="422">
        <f t="shared" si="99"/>
        <v>0</v>
      </c>
      <c r="I345" s="423">
        <f t="shared" si="100"/>
        <v>0</v>
      </c>
    </row>
    <row r="346" spans="1:9" x14ac:dyDescent="0.2">
      <c r="A346" s="420" t="s">
        <v>396</v>
      </c>
      <c r="B346" s="420" t="s">
        <v>345</v>
      </c>
      <c r="C346" s="420" t="s">
        <v>38</v>
      </c>
      <c r="D346" s="423">
        <v>5857.41</v>
      </c>
      <c r="E346" s="423">
        <v>4366.4799999999996</v>
      </c>
      <c r="F346" s="423">
        <v>138567.85</v>
      </c>
      <c r="G346" s="423">
        <f t="shared" si="98"/>
        <v>148791.74</v>
      </c>
      <c r="H346" s="422">
        <f t="shared" si="99"/>
        <v>-2.0790534414805717E-2</v>
      </c>
      <c r="I346" s="423">
        <f t="shared" si="100"/>
        <v>-3159.140000000014</v>
      </c>
    </row>
    <row r="347" spans="1:9" x14ac:dyDescent="0.2">
      <c r="A347" s="420" t="s">
        <v>396</v>
      </c>
      <c r="B347" s="420" t="s">
        <v>348</v>
      </c>
      <c r="C347" s="420" t="s">
        <v>38</v>
      </c>
      <c r="D347" s="423">
        <v>31582.33</v>
      </c>
      <c r="E347" s="423">
        <v>31418.46</v>
      </c>
      <c r="F347" s="423">
        <v>515585.48</v>
      </c>
      <c r="G347" s="423">
        <f t="shared" si="98"/>
        <v>578586.27</v>
      </c>
      <c r="H347" s="422">
        <f t="shared" si="99"/>
        <v>-5.3539836015751144E-2</v>
      </c>
      <c r="I347" s="423">
        <f t="shared" si="100"/>
        <v>-32729.760000000009</v>
      </c>
    </row>
    <row r="348" spans="1:9" x14ac:dyDescent="0.2">
      <c r="A348" s="420" t="s">
        <v>396</v>
      </c>
      <c r="B348" s="420" t="s">
        <v>348</v>
      </c>
      <c r="C348" s="420" t="s">
        <v>39</v>
      </c>
      <c r="D348" s="423">
        <v>16842.73</v>
      </c>
      <c r="E348" s="423">
        <v>6736.01</v>
      </c>
      <c r="F348" s="423">
        <v>90738.16</v>
      </c>
      <c r="G348" s="423">
        <f t="shared" si="98"/>
        <v>114316.9</v>
      </c>
      <c r="H348" s="422">
        <f t="shared" si="99"/>
        <v>-7.9817603827392877E-2</v>
      </c>
      <c r="I348" s="423">
        <f t="shared" si="100"/>
        <v>-9915.9700000000012</v>
      </c>
    </row>
    <row r="349" spans="1:9" x14ac:dyDescent="0.2">
      <c r="A349" s="420" t="s">
        <v>396</v>
      </c>
      <c r="B349" s="420" t="s">
        <v>350</v>
      </c>
      <c r="C349" s="420" t="s">
        <v>38</v>
      </c>
      <c r="D349" s="423">
        <v>1650.88</v>
      </c>
      <c r="E349" s="423">
        <v>2274.98</v>
      </c>
      <c r="F349" s="423">
        <v>94494.74</v>
      </c>
      <c r="G349" s="423">
        <f t="shared" si="98"/>
        <v>98420.6</v>
      </c>
      <c r="H349" s="422">
        <f t="shared" si="99"/>
        <v>-0.22678430493266494</v>
      </c>
      <c r="I349" s="423">
        <f t="shared" si="100"/>
        <v>-28866.78</v>
      </c>
    </row>
    <row r="350" spans="1:9" x14ac:dyDescent="0.2">
      <c r="A350" s="420" t="s">
        <v>396</v>
      </c>
      <c r="B350" s="420" t="s">
        <v>350</v>
      </c>
      <c r="C350" s="420" t="s">
        <v>39</v>
      </c>
      <c r="D350" s="423">
        <v>0</v>
      </c>
      <c r="E350" s="423">
        <v>0</v>
      </c>
      <c r="F350" s="423">
        <v>1951.62</v>
      </c>
      <c r="G350" s="423">
        <f t="shared" si="98"/>
        <v>1951.62</v>
      </c>
      <c r="H350" s="422">
        <f t="shared" si="99"/>
        <v>-0.32841706813489335</v>
      </c>
      <c r="I350" s="423">
        <f t="shared" si="100"/>
        <v>-954.38000000000011</v>
      </c>
    </row>
    <row r="351" spans="1:9" x14ac:dyDescent="0.2">
      <c r="G351" s="423">
        <f>SUM(G344:G350)</f>
        <v>945515.15</v>
      </c>
      <c r="H351" s="422">
        <f t="shared" si="99"/>
        <v>-8.0457457839285276E-2</v>
      </c>
      <c r="I351" s="423">
        <f t="shared" si="100"/>
        <v>-82729.989999999991</v>
      </c>
    </row>
    <row r="353" spans="1:9" ht="15.75" x14ac:dyDescent="0.25">
      <c r="A353" s="426">
        <v>42886</v>
      </c>
      <c r="B353" s="424" t="s">
        <v>343</v>
      </c>
      <c r="C353" s="424" t="s">
        <v>33</v>
      </c>
      <c r="D353" s="424" t="s">
        <v>34</v>
      </c>
      <c r="E353" s="424" t="s">
        <v>35</v>
      </c>
      <c r="F353" s="424" t="s">
        <v>103</v>
      </c>
      <c r="G353" s="425" t="s">
        <v>9</v>
      </c>
    </row>
    <row r="354" spans="1:9" x14ac:dyDescent="0.2">
      <c r="A354" s="420" t="s">
        <v>396</v>
      </c>
      <c r="B354" s="420" t="s">
        <v>21</v>
      </c>
      <c r="C354" s="420" t="s">
        <v>38</v>
      </c>
      <c r="D354" s="423">
        <v>225.53</v>
      </c>
      <c r="E354" s="423">
        <v>1471.77</v>
      </c>
      <c r="F354" s="423">
        <v>6.21</v>
      </c>
      <c r="G354" s="423">
        <f t="shared" ref="G354:G360" si="101">SUM(D354:F354)</f>
        <v>1703.51</v>
      </c>
      <c r="H354" s="422">
        <f t="shared" ref="H354:H361" si="102">IF(G344&gt;0,(G354-G344)/G344,0)</f>
        <v>-0.39136446461109725</v>
      </c>
      <c r="I354" s="423">
        <f t="shared" ref="I354:I361" si="103">G354-G344</f>
        <v>-1095.3900000000001</v>
      </c>
    </row>
    <row r="355" spans="1:9" x14ac:dyDescent="0.2">
      <c r="A355" s="420" t="s">
        <v>396</v>
      </c>
      <c r="B355" s="420" t="s">
        <v>351</v>
      </c>
      <c r="C355" s="420" t="s">
        <v>38</v>
      </c>
      <c r="D355" s="423">
        <v>714.33</v>
      </c>
      <c r="E355" s="423">
        <v>0</v>
      </c>
      <c r="F355" s="423">
        <v>658.25</v>
      </c>
      <c r="G355" s="423">
        <f t="shared" si="101"/>
        <v>1372.58</v>
      </c>
      <c r="H355" s="422">
        <f t="shared" si="102"/>
        <v>1.1145242790239092</v>
      </c>
      <c r="I355" s="423">
        <f t="shared" si="103"/>
        <v>723.45999999999992</v>
      </c>
    </row>
    <row r="356" spans="1:9" x14ac:dyDescent="0.2">
      <c r="A356" s="420" t="s">
        <v>396</v>
      </c>
      <c r="B356" s="420" t="s">
        <v>345</v>
      </c>
      <c r="C356" s="420" t="s">
        <v>38</v>
      </c>
      <c r="D356" s="423">
        <v>22328.38</v>
      </c>
      <c r="E356" s="423">
        <v>4422.71</v>
      </c>
      <c r="F356" s="423">
        <v>139204.73000000001</v>
      </c>
      <c r="G356" s="423">
        <f t="shared" si="101"/>
        <v>165955.82</v>
      </c>
      <c r="H356" s="422">
        <f t="shared" si="102"/>
        <v>0.11535640352078695</v>
      </c>
      <c r="I356" s="423">
        <f t="shared" si="103"/>
        <v>17164.080000000016</v>
      </c>
    </row>
    <row r="357" spans="1:9" x14ac:dyDescent="0.2">
      <c r="A357" s="420" t="s">
        <v>396</v>
      </c>
      <c r="B357" s="420" t="s">
        <v>348</v>
      </c>
      <c r="C357" s="420" t="s">
        <v>38</v>
      </c>
      <c r="D357" s="423">
        <v>77991.64</v>
      </c>
      <c r="E357" s="423">
        <v>29113.63</v>
      </c>
      <c r="F357" s="423">
        <v>502148.74</v>
      </c>
      <c r="G357" s="423">
        <f t="shared" si="101"/>
        <v>609254.01</v>
      </c>
      <c r="H357" s="422">
        <f t="shared" si="102"/>
        <v>5.3004610703949108E-2</v>
      </c>
      <c r="I357" s="423">
        <f t="shared" si="103"/>
        <v>30667.739999999991</v>
      </c>
    </row>
    <row r="358" spans="1:9" x14ac:dyDescent="0.2">
      <c r="A358" s="420" t="s">
        <v>396</v>
      </c>
      <c r="B358" s="420" t="s">
        <v>348</v>
      </c>
      <c r="C358" s="420" t="s">
        <v>39</v>
      </c>
      <c r="D358" s="423">
        <v>48513.81</v>
      </c>
      <c r="E358" s="423">
        <v>15764.72</v>
      </c>
      <c r="F358" s="423">
        <v>78211.72</v>
      </c>
      <c r="G358" s="423">
        <f t="shared" si="101"/>
        <v>142490.25</v>
      </c>
      <c r="H358" s="422">
        <f t="shared" si="102"/>
        <v>0.24644956257561224</v>
      </c>
      <c r="I358" s="423">
        <f t="shared" si="103"/>
        <v>28173.350000000006</v>
      </c>
    </row>
    <row r="359" spans="1:9" x14ac:dyDescent="0.2">
      <c r="A359" s="420" t="s">
        <v>396</v>
      </c>
      <c r="B359" s="420" t="s">
        <v>350</v>
      </c>
      <c r="C359" s="420" t="s">
        <v>38</v>
      </c>
      <c r="D359" s="423">
        <v>53683.47</v>
      </c>
      <c r="E359" s="423">
        <v>1639.65</v>
      </c>
      <c r="F359" s="423">
        <v>79023.399999999994</v>
      </c>
      <c r="G359" s="423">
        <f t="shared" si="101"/>
        <v>134346.51999999999</v>
      </c>
      <c r="H359" s="422">
        <f t="shared" si="102"/>
        <v>0.36502439529935787</v>
      </c>
      <c r="I359" s="423">
        <f t="shared" si="103"/>
        <v>35925.919999999984</v>
      </c>
    </row>
    <row r="360" spans="1:9" x14ac:dyDescent="0.2">
      <c r="A360" s="420" t="s">
        <v>396</v>
      </c>
      <c r="B360" s="420" t="s">
        <v>350</v>
      </c>
      <c r="C360" s="420" t="s">
        <v>39</v>
      </c>
      <c r="D360" s="423">
        <v>2647.94</v>
      </c>
      <c r="E360" s="423">
        <v>0</v>
      </c>
      <c r="F360" s="423">
        <v>1472.16</v>
      </c>
      <c r="G360" s="423">
        <f t="shared" si="101"/>
        <v>4120.1000000000004</v>
      </c>
      <c r="H360" s="422">
        <f t="shared" si="102"/>
        <v>1.1111179430421909</v>
      </c>
      <c r="I360" s="423">
        <f t="shared" si="103"/>
        <v>2168.4800000000005</v>
      </c>
    </row>
    <row r="361" spans="1:9" x14ac:dyDescent="0.2">
      <c r="G361" s="423">
        <f>SUM(G354:G360)</f>
        <v>1059242.79</v>
      </c>
      <c r="H361" s="422">
        <f t="shared" si="102"/>
        <v>0.12028113986327983</v>
      </c>
      <c r="I361" s="423">
        <f t="shared" si="103"/>
        <v>113727.64000000001</v>
      </c>
    </row>
    <row r="363" spans="1:9" ht="15.75" x14ac:dyDescent="0.25">
      <c r="A363" s="426">
        <v>42916</v>
      </c>
      <c r="B363" s="424" t="s">
        <v>343</v>
      </c>
      <c r="C363" s="424" t="s">
        <v>33</v>
      </c>
      <c r="D363" s="424" t="s">
        <v>34</v>
      </c>
      <c r="E363" s="424" t="s">
        <v>35</v>
      </c>
      <c r="F363" s="424" t="s">
        <v>103</v>
      </c>
      <c r="G363" s="425" t="s">
        <v>9</v>
      </c>
    </row>
    <row r="364" spans="1:9" x14ac:dyDescent="0.2">
      <c r="A364" s="420" t="s">
        <v>396</v>
      </c>
      <c r="B364" s="420" t="s">
        <v>21</v>
      </c>
      <c r="C364" s="420" t="s">
        <v>38</v>
      </c>
      <c r="D364" s="423">
        <v>169.92</v>
      </c>
      <c r="E364" s="423">
        <v>227.76</v>
      </c>
      <c r="F364" s="423">
        <v>1459</v>
      </c>
      <c r="G364" s="423">
        <f t="shared" ref="G364:G370" si="104">SUM(D364:F364)</f>
        <v>1856.6799999999998</v>
      </c>
      <c r="H364" s="422">
        <f t="shared" ref="H364:H371" si="105">IF(G354&gt;0,(G364-G354)/G354,0)</f>
        <v>8.9914353305821426E-2</v>
      </c>
      <c r="I364" s="423">
        <f t="shared" ref="I364:I371" si="106">G364-G354</f>
        <v>153.16999999999985</v>
      </c>
    </row>
    <row r="365" spans="1:9" x14ac:dyDescent="0.2">
      <c r="A365" s="420" t="s">
        <v>396</v>
      </c>
      <c r="B365" s="420" t="s">
        <v>351</v>
      </c>
      <c r="C365" s="420" t="s">
        <v>38</v>
      </c>
      <c r="D365" s="423">
        <v>0</v>
      </c>
      <c r="E365" s="423">
        <v>721.08</v>
      </c>
      <c r="F365" s="423">
        <v>664.38</v>
      </c>
      <c r="G365" s="423">
        <f t="shared" si="104"/>
        <v>1385.46</v>
      </c>
      <c r="H365" s="422">
        <f t="shared" si="105"/>
        <v>9.3837881944951185E-3</v>
      </c>
      <c r="I365" s="423">
        <f t="shared" si="106"/>
        <v>12.880000000000109</v>
      </c>
    </row>
    <row r="366" spans="1:9" x14ac:dyDescent="0.2">
      <c r="A366" s="420" t="s">
        <v>396</v>
      </c>
      <c r="B366" s="420" t="s">
        <v>345</v>
      </c>
      <c r="C366" s="420" t="s">
        <v>38</v>
      </c>
      <c r="D366" s="423">
        <v>7599.52</v>
      </c>
      <c r="E366" s="423">
        <v>10196.85</v>
      </c>
      <c r="F366" s="423">
        <v>120086.27</v>
      </c>
      <c r="G366" s="423">
        <f t="shared" si="104"/>
        <v>137882.64000000001</v>
      </c>
      <c r="H366" s="422">
        <f t="shared" si="105"/>
        <v>-0.1691605633354708</v>
      </c>
      <c r="I366" s="423">
        <f t="shared" si="106"/>
        <v>-28073.179999999993</v>
      </c>
    </row>
    <row r="367" spans="1:9" x14ac:dyDescent="0.2">
      <c r="A367" s="420" t="s">
        <v>396</v>
      </c>
      <c r="B367" s="420" t="s">
        <v>348</v>
      </c>
      <c r="C367" s="420" t="s">
        <v>38</v>
      </c>
      <c r="D367" s="423">
        <v>42558.51</v>
      </c>
      <c r="E367" s="423">
        <v>56658.02</v>
      </c>
      <c r="F367" s="423">
        <v>497268.47999999998</v>
      </c>
      <c r="G367" s="423">
        <f t="shared" si="104"/>
        <v>596485.01</v>
      </c>
      <c r="H367" s="422">
        <f t="shared" si="105"/>
        <v>-2.0958417655716374E-2</v>
      </c>
      <c r="I367" s="423">
        <f t="shared" si="106"/>
        <v>-12769</v>
      </c>
    </row>
    <row r="368" spans="1:9" x14ac:dyDescent="0.2">
      <c r="A368" s="420" t="s">
        <v>396</v>
      </c>
      <c r="B368" s="420" t="s">
        <v>348</v>
      </c>
      <c r="C368" s="420" t="s">
        <v>39</v>
      </c>
      <c r="D368" s="423">
        <v>9756.35</v>
      </c>
      <c r="E368" s="423">
        <v>40534.33</v>
      </c>
      <c r="F368" s="423">
        <v>81205.22</v>
      </c>
      <c r="G368" s="423">
        <f t="shared" si="104"/>
        <v>131495.9</v>
      </c>
      <c r="H368" s="422">
        <f t="shared" si="105"/>
        <v>-7.715861260682752E-2</v>
      </c>
      <c r="I368" s="423">
        <f t="shared" si="106"/>
        <v>-10994.350000000006</v>
      </c>
    </row>
    <row r="369" spans="1:9" x14ac:dyDescent="0.2">
      <c r="A369" s="420" t="s">
        <v>396</v>
      </c>
      <c r="B369" s="420" t="s">
        <v>350</v>
      </c>
      <c r="C369" s="420" t="s">
        <v>38</v>
      </c>
      <c r="D369" s="423">
        <v>3869.21</v>
      </c>
      <c r="E369" s="423">
        <v>24571.99</v>
      </c>
      <c r="F369" s="423">
        <v>70784.58</v>
      </c>
      <c r="G369" s="423">
        <f t="shared" si="104"/>
        <v>99225.78</v>
      </c>
      <c r="H369" s="422">
        <f t="shared" si="105"/>
        <v>-0.26141905275998212</v>
      </c>
      <c r="I369" s="423">
        <f t="shared" si="106"/>
        <v>-35120.739999999991</v>
      </c>
    </row>
    <row r="370" spans="1:9" x14ac:dyDescent="0.2">
      <c r="A370" s="420" t="s">
        <v>396</v>
      </c>
      <c r="B370" s="420" t="s">
        <v>350</v>
      </c>
      <c r="C370" s="420" t="s">
        <v>39</v>
      </c>
      <c r="D370" s="423">
        <v>0</v>
      </c>
      <c r="E370" s="423">
        <v>2666.95</v>
      </c>
      <c r="F370" s="423">
        <v>1482.73</v>
      </c>
      <c r="G370" s="423">
        <f t="shared" si="104"/>
        <v>4149.68</v>
      </c>
      <c r="H370" s="422">
        <f t="shared" si="105"/>
        <v>7.1794373922962852E-3</v>
      </c>
      <c r="I370" s="423">
        <f t="shared" si="106"/>
        <v>29.579999999999927</v>
      </c>
    </row>
    <row r="371" spans="1:9" x14ac:dyDescent="0.2">
      <c r="G371" s="423">
        <f>SUM(G364:G370)</f>
        <v>972481.15000000014</v>
      </c>
      <c r="H371" s="422">
        <f t="shared" si="105"/>
        <v>-8.1909115472950156E-2</v>
      </c>
      <c r="I371" s="423">
        <f t="shared" si="106"/>
        <v>-86761.639999999898</v>
      </c>
    </row>
    <row r="373" spans="1:9" ht="15.75" x14ac:dyDescent="0.25">
      <c r="A373" s="426">
        <v>42947</v>
      </c>
      <c r="B373" s="424" t="s">
        <v>343</v>
      </c>
      <c r="C373" s="424" t="s">
        <v>33</v>
      </c>
      <c r="D373" s="424" t="s">
        <v>34</v>
      </c>
      <c r="E373" s="424" t="s">
        <v>35</v>
      </c>
      <c r="F373" s="424" t="s">
        <v>103</v>
      </c>
      <c r="G373" s="425" t="s">
        <v>9</v>
      </c>
    </row>
    <row r="374" spans="1:9" x14ac:dyDescent="0.2">
      <c r="A374" s="420" t="s">
        <v>397</v>
      </c>
      <c r="B374" s="420" t="s">
        <v>21</v>
      </c>
      <c r="C374" s="420" t="s">
        <v>38</v>
      </c>
      <c r="D374" s="423">
        <v>569.75</v>
      </c>
      <c r="E374" s="423">
        <v>150.71</v>
      </c>
      <c r="F374" s="423">
        <v>1683.91</v>
      </c>
      <c r="G374" s="423">
        <f t="shared" ref="G374:G380" si="107">SUM(D374:F374)</f>
        <v>2404.37</v>
      </c>
      <c r="H374" s="422">
        <f t="shared" ref="H374:H381" si="108">IF(G364&gt;0,(G374-G364)/G364,0)</f>
        <v>0.29498351896934316</v>
      </c>
      <c r="I374" s="423">
        <f t="shared" ref="I374:I381" si="109">G374-G364</f>
        <v>547.69000000000005</v>
      </c>
    </row>
    <row r="375" spans="1:9" x14ac:dyDescent="0.2">
      <c r="A375" s="420" t="s">
        <v>397</v>
      </c>
      <c r="B375" s="420" t="s">
        <v>351</v>
      </c>
      <c r="C375" s="420" t="s">
        <v>38</v>
      </c>
      <c r="D375" s="423">
        <v>0</v>
      </c>
      <c r="E375" s="423">
        <v>0</v>
      </c>
      <c r="F375" s="423">
        <v>0</v>
      </c>
      <c r="G375" s="423">
        <f t="shared" si="107"/>
        <v>0</v>
      </c>
      <c r="H375" s="422">
        <f t="shared" si="108"/>
        <v>-1</v>
      </c>
      <c r="I375" s="423">
        <f t="shared" si="109"/>
        <v>-1385.46</v>
      </c>
    </row>
    <row r="376" spans="1:9" x14ac:dyDescent="0.2">
      <c r="A376" s="420" t="s">
        <v>397</v>
      </c>
      <c r="B376" s="420" t="s">
        <v>345</v>
      </c>
      <c r="C376" s="420" t="s">
        <v>38</v>
      </c>
      <c r="D376" s="423">
        <v>4775.3100000000004</v>
      </c>
      <c r="E376" s="423">
        <v>6935.36</v>
      </c>
      <c r="F376" s="423">
        <v>127777.64</v>
      </c>
      <c r="G376" s="423">
        <f t="shared" si="107"/>
        <v>139488.31</v>
      </c>
      <c r="H376" s="422">
        <f t="shared" si="108"/>
        <v>1.1645193332532533E-2</v>
      </c>
      <c r="I376" s="423">
        <f t="shared" si="109"/>
        <v>1605.6699999999837</v>
      </c>
    </row>
    <row r="377" spans="1:9" x14ac:dyDescent="0.2">
      <c r="A377" s="420" t="s">
        <v>397</v>
      </c>
      <c r="B377" s="420" t="s">
        <v>348</v>
      </c>
      <c r="C377" s="420" t="s">
        <v>38</v>
      </c>
      <c r="D377" s="423">
        <v>30454.080000000002</v>
      </c>
      <c r="E377" s="423">
        <v>34155.89</v>
      </c>
      <c r="F377" s="423">
        <v>497521.53</v>
      </c>
      <c r="G377" s="423">
        <f t="shared" si="107"/>
        <v>562131.5</v>
      </c>
      <c r="H377" s="422">
        <f t="shared" si="108"/>
        <v>-5.7593249493394658E-2</v>
      </c>
      <c r="I377" s="423">
        <f t="shared" si="109"/>
        <v>-34353.510000000009</v>
      </c>
    </row>
    <row r="378" spans="1:9" x14ac:dyDescent="0.2">
      <c r="A378" s="420" t="s">
        <v>397</v>
      </c>
      <c r="B378" s="420" t="s">
        <v>348</v>
      </c>
      <c r="C378" s="420" t="s">
        <v>39</v>
      </c>
      <c r="D378" s="423">
        <v>11659.06</v>
      </c>
      <c r="E378" s="423">
        <v>6828.75</v>
      </c>
      <c r="F378" s="423">
        <v>90354.55</v>
      </c>
      <c r="G378" s="423">
        <f t="shared" si="107"/>
        <v>108842.36</v>
      </c>
      <c r="H378" s="422">
        <f t="shared" si="108"/>
        <v>-0.17227563749135902</v>
      </c>
      <c r="I378" s="423">
        <f t="shared" si="109"/>
        <v>-22653.539999999994</v>
      </c>
    </row>
    <row r="379" spans="1:9" x14ac:dyDescent="0.2">
      <c r="A379" s="420" t="s">
        <v>397</v>
      </c>
      <c r="B379" s="420" t="s">
        <v>350</v>
      </c>
      <c r="C379" s="420" t="s">
        <v>38</v>
      </c>
      <c r="D379" s="423">
        <v>7985.73</v>
      </c>
      <c r="E379" s="423">
        <v>3194.66</v>
      </c>
      <c r="F379" s="423">
        <v>80355.179999999993</v>
      </c>
      <c r="G379" s="423">
        <f t="shared" si="107"/>
        <v>91535.569999999992</v>
      </c>
      <c r="H379" s="422">
        <f t="shared" si="108"/>
        <v>-7.7502137045433211E-2</v>
      </c>
      <c r="I379" s="423">
        <f t="shared" si="109"/>
        <v>-7690.2100000000064</v>
      </c>
    </row>
    <row r="380" spans="1:9" x14ac:dyDescent="0.2">
      <c r="A380" s="420" t="s">
        <v>397</v>
      </c>
      <c r="B380" s="420" t="s">
        <v>350</v>
      </c>
      <c r="C380" s="420" t="s">
        <v>39</v>
      </c>
      <c r="D380" s="423">
        <v>0</v>
      </c>
      <c r="E380" s="423">
        <v>0</v>
      </c>
      <c r="F380" s="423">
        <v>3674.45</v>
      </c>
      <c r="G380" s="423">
        <f t="shared" si="107"/>
        <v>3674.45</v>
      </c>
      <c r="H380" s="422">
        <f t="shared" si="108"/>
        <v>-0.11452208363054511</v>
      </c>
      <c r="I380" s="423">
        <f t="shared" si="109"/>
        <v>-475.23000000000047</v>
      </c>
    </row>
    <row r="381" spans="1:9" x14ac:dyDescent="0.2">
      <c r="G381" s="423">
        <f>SUM(G374:G380)</f>
        <v>908076.55999999982</v>
      </c>
      <c r="H381" s="422">
        <f t="shared" si="108"/>
        <v>-6.6227083167627779E-2</v>
      </c>
      <c r="I381" s="423">
        <f t="shared" si="109"/>
        <v>-64404.590000000317</v>
      </c>
    </row>
    <row r="383" spans="1:9" ht="15.75" x14ac:dyDescent="0.25">
      <c r="A383" s="426">
        <v>42978</v>
      </c>
      <c r="B383" s="424" t="s">
        <v>343</v>
      </c>
      <c r="C383" s="424" t="s">
        <v>33</v>
      </c>
      <c r="D383" s="424" t="s">
        <v>34</v>
      </c>
      <c r="E383" s="424" t="s">
        <v>35</v>
      </c>
      <c r="F383" s="424" t="s">
        <v>103</v>
      </c>
      <c r="G383" s="425" t="s">
        <v>9</v>
      </c>
    </row>
    <row r="384" spans="1:9" x14ac:dyDescent="0.2">
      <c r="A384" s="420" t="s">
        <v>397</v>
      </c>
      <c r="B384" s="420" t="s">
        <v>21</v>
      </c>
      <c r="C384" s="420" t="s">
        <v>38</v>
      </c>
      <c r="D384" s="423">
        <v>653.47</v>
      </c>
      <c r="E384" s="423">
        <v>565.76</v>
      </c>
      <c r="F384" s="423">
        <v>388.21</v>
      </c>
      <c r="G384" s="423">
        <f t="shared" ref="G384:G390" si="110">SUM(D384:F384)</f>
        <v>1607.44</v>
      </c>
      <c r="H384" s="422">
        <f t="shared" ref="H384:H391" si="111">IF(G374&gt;0,(G384-G374)/G374,0)</f>
        <v>-0.33145065027429216</v>
      </c>
      <c r="I384" s="423">
        <f t="shared" ref="I384:I391" si="112">G384-G374</f>
        <v>-796.92999999999984</v>
      </c>
    </row>
    <row r="385" spans="1:9" x14ac:dyDescent="0.2">
      <c r="A385" s="420" t="s">
        <v>397</v>
      </c>
      <c r="B385" s="420" t="s">
        <v>351</v>
      </c>
      <c r="C385" s="420" t="s">
        <v>38</v>
      </c>
      <c r="D385" s="423">
        <v>0</v>
      </c>
      <c r="E385" s="423">
        <v>0</v>
      </c>
      <c r="F385" s="423">
        <v>0</v>
      </c>
      <c r="G385" s="423">
        <f t="shared" si="110"/>
        <v>0</v>
      </c>
      <c r="H385" s="422">
        <f t="shared" si="111"/>
        <v>0</v>
      </c>
      <c r="I385" s="423">
        <f t="shared" si="112"/>
        <v>0</v>
      </c>
    </row>
    <row r="386" spans="1:9" x14ac:dyDescent="0.2">
      <c r="A386" s="420" t="s">
        <v>397</v>
      </c>
      <c r="B386" s="420" t="s">
        <v>345</v>
      </c>
      <c r="C386" s="420" t="s">
        <v>38</v>
      </c>
      <c r="D386" s="423">
        <v>12377.08</v>
      </c>
      <c r="E386" s="423">
        <v>4678.3999999999996</v>
      </c>
      <c r="F386" s="423">
        <v>128410.89</v>
      </c>
      <c r="G386" s="423">
        <f t="shared" si="110"/>
        <v>145466.37</v>
      </c>
      <c r="H386" s="422">
        <f t="shared" si="111"/>
        <v>4.2857068094093315E-2</v>
      </c>
      <c r="I386" s="423">
        <f t="shared" si="112"/>
        <v>5978.0599999999977</v>
      </c>
    </row>
    <row r="387" spans="1:9" x14ac:dyDescent="0.2">
      <c r="A387" s="420" t="s">
        <v>397</v>
      </c>
      <c r="B387" s="420" t="s">
        <v>348</v>
      </c>
      <c r="C387" s="420" t="s">
        <v>38</v>
      </c>
      <c r="D387" s="423">
        <v>55924.53</v>
      </c>
      <c r="E387" s="423">
        <v>42216.34</v>
      </c>
      <c r="F387" s="423">
        <v>491909.09</v>
      </c>
      <c r="G387" s="423">
        <f t="shared" si="110"/>
        <v>590049.96</v>
      </c>
      <c r="H387" s="422">
        <f t="shared" si="111"/>
        <v>4.9665354103087915E-2</v>
      </c>
      <c r="I387" s="423">
        <f t="shared" si="112"/>
        <v>27918.459999999963</v>
      </c>
    </row>
    <row r="388" spans="1:9" x14ac:dyDescent="0.2">
      <c r="A388" s="420" t="s">
        <v>397</v>
      </c>
      <c r="B388" s="420" t="s">
        <v>348</v>
      </c>
      <c r="C388" s="420" t="s">
        <v>39</v>
      </c>
      <c r="D388" s="423">
        <v>28025</v>
      </c>
      <c r="E388" s="423">
        <v>13218.73</v>
      </c>
      <c r="F388" s="423">
        <v>68449.009999999995</v>
      </c>
      <c r="G388" s="423">
        <f t="shared" si="110"/>
        <v>109692.73999999999</v>
      </c>
      <c r="H388" s="422">
        <f t="shared" si="111"/>
        <v>7.8129507665948266E-3</v>
      </c>
      <c r="I388" s="423">
        <f t="shared" si="112"/>
        <v>850.3799999999901</v>
      </c>
    </row>
    <row r="389" spans="1:9" x14ac:dyDescent="0.2">
      <c r="A389" s="420" t="s">
        <v>397</v>
      </c>
      <c r="B389" s="420" t="s">
        <v>350</v>
      </c>
      <c r="C389" s="420" t="s">
        <v>38</v>
      </c>
      <c r="D389" s="423">
        <v>35611.4</v>
      </c>
      <c r="E389" s="423">
        <v>6131.26</v>
      </c>
      <c r="F389" s="423">
        <v>75340.23</v>
      </c>
      <c r="G389" s="423">
        <f t="shared" si="110"/>
        <v>117082.89</v>
      </c>
      <c r="H389" s="422">
        <f t="shared" si="111"/>
        <v>0.2790971859354785</v>
      </c>
      <c r="I389" s="423">
        <f>G389-G379</f>
        <v>25547.320000000007</v>
      </c>
    </row>
    <row r="390" spans="1:9" x14ac:dyDescent="0.2">
      <c r="A390" s="420" t="s">
        <v>397</v>
      </c>
      <c r="B390" s="420" t="s">
        <v>350</v>
      </c>
      <c r="C390" s="420" t="s">
        <v>39</v>
      </c>
      <c r="D390" s="423">
        <v>2669.86</v>
      </c>
      <c r="E390" s="423">
        <v>0</v>
      </c>
      <c r="F390" s="423">
        <v>3202.06</v>
      </c>
      <c r="G390" s="423">
        <f t="shared" si="110"/>
        <v>5871.92</v>
      </c>
      <c r="H390" s="422">
        <f t="shared" si="111"/>
        <v>0.59804052307148015</v>
      </c>
      <c r="I390" s="423">
        <f t="shared" si="112"/>
        <v>2197.4700000000003</v>
      </c>
    </row>
    <row r="391" spans="1:9" x14ac:dyDescent="0.2">
      <c r="G391" s="423">
        <f>SUM(G384:G390)</f>
        <v>969771.32000000007</v>
      </c>
      <c r="H391" s="422">
        <f t="shared" si="111"/>
        <v>6.7940042412283227E-2</v>
      </c>
      <c r="I391" s="423">
        <f t="shared" si="112"/>
        <v>61694.760000000242</v>
      </c>
    </row>
    <row r="393" spans="1:9" ht="15.75" x14ac:dyDescent="0.25">
      <c r="A393" s="426">
        <v>43008</v>
      </c>
      <c r="B393" s="424" t="s">
        <v>343</v>
      </c>
      <c r="C393" s="424" t="s">
        <v>33</v>
      </c>
      <c r="D393" s="424" t="s">
        <v>34</v>
      </c>
      <c r="E393" s="424" t="s">
        <v>35</v>
      </c>
      <c r="F393" s="424" t="s">
        <v>103</v>
      </c>
      <c r="G393" s="425" t="s">
        <v>9</v>
      </c>
    </row>
    <row r="394" spans="1:9" x14ac:dyDescent="0.2">
      <c r="A394" s="420" t="s">
        <v>397</v>
      </c>
      <c r="B394" s="420" t="s">
        <v>21</v>
      </c>
      <c r="C394" s="420" t="s">
        <v>38</v>
      </c>
      <c r="D394" s="423">
        <v>2996.29</v>
      </c>
      <c r="E394" s="423">
        <v>396.65</v>
      </c>
      <c r="F394" s="423">
        <v>494.9</v>
      </c>
      <c r="G394" s="423">
        <f t="shared" ref="G394:G400" si="113">SUM(D394:F394)</f>
        <v>3887.84</v>
      </c>
      <c r="H394" s="422">
        <f>IF(G384&gt;0,(G394-G384)/G384,0)</f>
        <v>1.4186532623301646</v>
      </c>
      <c r="I394" s="423">
        <f t="shared" ref="I394:I400" si="114">G394-G384</f>
        <v>2280.4</v>
      </c>
    </row>
    <row r="395" spans="1:9" x14ac:dyDescent="0.2">
      <c r="A395" s="420" t="s">
        <v>397</v>
      </c>
      <c r="B395" s="420" t="s">
        <v>351</v>
      </c>
      <c r="C395" s="420" t="s">
        <v>38</v>
      </c>
      <c r="D395" s="423">
        <v>0</v>
      </c>
      <c r="E395" s="423">
        <v>0</v>
      </c>
      <c r="F395" s="423">
        <v>0</v>
      </c>
      <c r="G395" s="423">
        <f t="shared" si="113"/>
        <v>0</v>
      </c>
      <c r="H395" s="422">
        <f t="shared" ref="H395:H400" si="115">IF(G385&gt;0,(G395-G385)/G385,0)</f>
        <v>0</v>
      </c>
      <c r="I395" s="423">
        <f t="shared" si="114"/>
        <v>0</v>
      </c>
    </row>
    <row r="396" spans="1:9" x14ac:dyDescent="0.2">
      <c r="A396" s="420" t="s">
        <v>397</v>
      </c>
      <c r="B396" s="420" t="s">
        <v>345</v>
      </c>
      <c r="C396" s="420" t="s">
        <v>38</v>
      </c>
      <c r="D396" s="423">
        <v>5682.32</v>
      </c>
      <c r="E396" s="423">
        <v>11045.67</v>
      </c>
      <c r="F396" s="423">
        <v>132405.70000000001</v>
      </c>
      <c r="G396" s="423">
        <f t="shared" si="113"/>
        <v>149133.69</v>
      </c>
      <c r="H396" s="422">
        <f t="shared" si="115"/>
        <v>2.5210775521517497E-2</v>
      </c>
      <c r="I396" s="423">
        <f t="shared" si="114"/>
        <v>3667.320000000007</v>
      </c>
    </row>
    <row r="397" spans="1:9" x14ac:dyDescent="0.2">
      <c r="A397" s="420" t="s">
        <v>397</v>
      </c>
      <c r="B397" s="420" t="s">
        <v>348</v>
      </c>
      <c r="C397" s="420" t="s">
        <v>38</v>
      </c>
      <c r="D397" s="423">
        <v>37003.35</v>
      </c>
      <c r="E397" s="423">
        <v>48808.45</v>
      </c>
      <c r="F397" s="423">
        <v>495619.49</v>
      </c>
      <c r="G397" s="423">
        <f t="shared" si="113"/>
        <v>581431.29</v>
      </c>
      <c r="H397" s="422">
        <f t="shared" si="115"/>
        <v>-1.4606678390419561E-2</v>
      </c>
      <c r="I397" s="423">
        <f>G397-G387</f>
        <v>-8618.6699999999255</v>
      </c>
    </row>
    <row r="398" spans="1:9" x14ac:dyDescent="0.2">
      <c r="A398" s="420" t="s">
        <v>397</v>
      </c>
      <c r="B398" s="420" t="s">
        <v>348</v>
      </c>
      <c r="C398" s="420" t="s">
        <v>39</v>
      </c>
      <c r="D398" s="423">
        <v>4766.66</v>
      </c>
      <c r="E398" s="423">
        <v>24612.76</v>
      </c>
      <c r="F398" s="423">
        <v>66595.649999999994</v>
      </c>
      <c r="G398" s="423">
        <f t="shared" si="113"/>
        <v>95975.069999999992</v>
      </c>
      <c r="H398" s="422">
        <f t="shared" si="115"/>
        <v>-0.12505540476060675</v>
      </c>
      <c r="I398" s="423">
        <f t="shared" si="114"/>
        <v>-13717.669999999998</v>
      </c>
    </row>
    <row r="399" spans="1:9" x14ac:dyDescent="0.2">
      <c r="A399" s="420" t="s">
        <v>397</v>
      </c>
      <c r="B399" s="420" t="s">
        <v>350</v>
      </c>
      <c r="C399" s="420" t="s">
        <v>38</v>
      </c>
      <c r="D399" s="423">
        <v>29150.15</v>
      </c>
      <c r="E399" s="423">
        <v>6728.87</v>
      </c>
      <c r="F399" s="423">
        <v>78612.27</v>
      </c>
      <c r="G399" s="423">
        <f t="shared" si="113"/>
        <v>114491.29000000001</v>
      </c>
      <c r="H399" s="422">
        <f t="shared" si="115"/>
        <v>-2.2134745734410821E-2</v>
      </c>
      <c r="I399" s="423">
        <f t="shared" si="114"/>
        <v>-2591.5999999999913</v>
      </c>
    </row>
    <row r="400" spans="1:9" x14ac:dyDescent="0.2">
      <c r="A400" s="420" t="s">
        <v>397</v>
      </c>
      <c r="B400" s="420" t="s">
        <v>350</v>
      </c>
      <c r="C400" s="420" t="s">
        <v>39</v>
      </c>
      <c r="D400" s="423">
        <v>0</v>
      </c>
      <c r="E400" s="423">
        <v>2669.86</v>
      </c>
      <c r="F400" s="423">
        <v>2736.22</v>
      </c>
      <c r="G400" s="423">
        <f t="shared" si="113"/>
        <v>5406.08</v>
      </c>
      <c r="H400" s="422">
        <f t="shared" si="115"/>
        <v>-7.9333505906075033E-2</v>
      </c>
      <c r="I400" s="423">
        <f t="shared" si="114"/>
        <v>-465.84000000000015</v>
      </c>
    </row>
    <row r="401" spans="1:17" x14ac:dyDescent="0.2">
      <c r="G401" s="423">
        <f>SUM(G394:G400)</f>
        <v>950325.26</v>
      </c>
      <c r="H401" s="422">
        <f>IF(G391&gt;0,(G401-G391)/G391,0)</f>
        <v>-2.0052211896718141E-2</v>
      </c>
      <c r="I401" s="423">
        <f>G401-G391</f>
        <v>-19446.060000000056</v>
      </c>
    </row>
    <row r="403" spans="1:17" ht="15.75" x14ac:dyDescent="0.25">
      <c r="A403" s="426">
        <v>43039</v>
      </c>
      <c r="B403" s="424" t="s">
        <v>343</v>
      </c>
      <c r="C403" s="424" t="s">
        <v>33</v>
      </c>
      <c r="D403" s="424" t="s">
        <v>34</v>
      </c>
      <c r="E403" s="424" t="s">
        <v>35</v>
      </c>
      <c r="F403" s="424" t="s">
        <v>103</v>
      </c>
      <c r="G403" s="425" t="s">
        <v>9</v>
      </c>
    </row>
    <row r="404" spans="1:17" x14ac:dyDescent="0.2">
      <c r="A404" s="420" t="s">
        <v>397</v>
      </c>
      <c r="B404" s="420" t="s">
        <v>21</v>
      </c>
      <c r="C404" s="420" t="s">
        <v>38</v>
      </c>
      <c r="D404" s="423">
        <v>204.7</v>
      </c>
      <c r="E404" s="423">
        <v>1966.72</v>
      </c>
      <c r="F404" s="423">
        <v>127.71</v>
      </c>
      <c r="G404" s="423">
        <f t="shared" ref="G404:G410" si="116">SUM(D404:F404)</f>
        <v>2299.13</v>
      </c>
      <c r="H404" s="422">
        <f t="shared" ref="H404:H411" si="117">IF(G394&gt;0,(G404-G394)/G394,0)</f>
        <v>-0.40863564344211695</v>
      </c>
      <c r="I404" s="423">
        <f t="shared" ref="I404:I411" si="118">G404-G394</f>
        <v>-1588.71</v>
      </c>
    </row>
    <row r="405" spans="1:17" x14ac:dyDescent="0.2">
      <c r="A405" s="420" t="s">
        <v>397</v>
      </c>
      <c r="B405" s="420" t="s">
        <v>351</v>
      </c>
      <c r="C405" s="420" t="s">
        <v>38</v>
      </c>
      <c r="D405" s="423">
        <v>0</v>
      </c>
      <c r="E405" s="423">
        <v>0</v>
      </c>
      <c r="F405" s="423">
        <v>0</v>
      </c>
      <c r="G405" s="423">
        <f t="shared" si="116"/>
        <v>0</v>
      </c>
      <c r="H405" s="422">
        <f t="shared" si="117"/>
        <v>0</v>
      </c>
      <c r="I405" s="423">
        <f t="shared" si="118"/>
        <v>0</v>
      </c>
      <c r="O405" s="421"/>
      <c r="P405" s="421"/>
      <c r="Q405" s="421"/>
    </row>
    <row r="406" spans="1:17" x14ac:dyDescent="0.2">
      <c r="A406" s="420" t="s">
        <v>397</v>
      </c>
      <c r="B406" s="420" t="s">
        <v>345</v>
      </c>
      <c r="C406" s="420" t="s">
        <v>38</v>
      </c>
      <c r="D406" s="423">
        <v>8062.27</v>
      </c>
      <c r="E406" s="423">
        <v>3567.27</v>
      </c>
      <c r="F406" s="423">
        <v>138705.5</v>
      </c>
      <c r="G406" s="423">
        <f t="shared" si="116"/>
        <v>150335.04000000001</v>
      </c>
      <c r="H406" s="422">
        <f t="shared" si="117"/>
        <v>8.055523872573701E-3</v>
      </c>
      <c r="I406" s="423">
        <f t="shared" si="118"/>
        <v>1201.3500000000058</v>
      </c>
      <c r="O406" s="421"/>
      <c r="P406" s="421"/>
      <c r="Q406" s="421"/>
    </row>
    <row r="407" spans="1:17" x14ac:dyDescent="0.2">
      <c r="A407" s="420" t="s">
        <v>397</v>
      </c>
      <c r="B407" s="420" t="s">
        <v>348</v>
      </c>
      <c r="C407" s="420" t="s">
        <v>38</v>
      </c>
      <c r="D407" s="423">
        <v>25538.86</v>
      </c>
      <c r="E407" s="423">
        <v>28693.31</v>
      </c>
      <c r="F407" s="423">
        <v>519744.27</v>
      </c>
      <c r="G407" s="423">
        <f t="shared" si="116"/>
        <v>573976.44000000006</v>
      </c>
      <c r="H407" s="422">
        <f t="shared" si="117"/>
        <v>-1.2821549387202702E-2</v>
      </c>
      <c r="I407" s="423">
        <f t="shared" si="118"/>
        <v>-7454.8499999999767</v>
      </c>
      <c r="O407" s="421"/>
      <c r="P407" s="421"/>
      <c r="Q407" s="421"/>
    </row>
    <row r="408" spans="1:17" x14ac:dyDescent="0.2">
      <c r="A408" s="420" t="s">
        <v>397</v>
      </c>
      <c r="B408" s="420" t="s">
        <v>348</v>
      </c>
      <c r="C408" s="420" t="s">
        <v>39</v>
      </c>
      <c r="D408" s="423">
        <v>7372.49</v>
      </c>
      <c r="E408" s="423">
        <v>3310.05</v>
      </c>
      <c r="F408" s="423">
        <v>73186.86</v>
      </c>
      <c r="G408" s="423">
        <f t="shared" si="116"/>
        <v>83869.399999999994</v>
      </c>
      <c r="H408" s="422">
        <f t="shared" si="117"/>
        <v>-0.1261334844559113</v>
      </c>
      <c r="I408" s="423">
        <f t="shared" si="118"/>
        <v>-12105.669999999998</v>
      </c>
      <c r="O408" s="421"/>
      <c r="P408" s="421"/>
      <c r="Q408" s="421"/>
    </row>
    <row r="409" spans="1:17" x14ac:dyDescent="0.2">
      <c r="A409" s="420" t="s">
        <v>397</v>
      </c>
      <c r="B409" s="420" t="s">
        <v>350</v>
      </c>
      <c r="C409" s="420" t="s">
        <v>38</v>
      </c>
      <c r="D409" s="423">
        <v>6994.07</v>
      </c>
      <c r="E409" s="423">
        <v>28246.639999999999</v>
      </c>
      <c r="F409" s="423">
        <v>80291.66</v>
      </c>
      <c r="G409" s="423">
        <f t="shared" si="116"/>
        <v>115532.37</v>
      </c>
      <c r="H409" s="422">
        <f t="shared" si="117"/>
        <v>9.0930934571528295E-3</v>
      </c>
      <c r="I409" s="423">
        <f t="shared" si="118"/>
        <v>1041.0799999999872</v>
      </c>
      <c r="O409" s="421"/>
      <c r="P409" s="421"/>
      <c r="Q409" s="421"/>
    </row>
    <row r="410" spans="1:17" x14ac:dyDescent="0.2">
      <c r="A410" s="420" t="s">
        <v>397</v>
      </c>
      <c r="B410" s="420" t="s">
        <v>350</v>
      </c>
      <c r="C410" s="420" t="s">
        <v>39</v>
      </c>
      <c r="D410" s="423">
        <v>0</v>
      </c>
      <c r="E410" s="423">
        <v>0</v>
      </c>
      <c r="F410" s="423">
        <v>4939.76</v>
      </c>
      <c r="G410" s="423">
        <f t="shared" si="116"/>
        <v>4939.76</v>
      </c>
      <c r="H410" s="422">
        <f t="shared" si="117"/>
        <v>-8.6258434947318524E-2</v>
      </c>
      <c r="I410" s="423">
        <f t="shared" si="118"/>
        <v>-466.31999999999971</v>
      </c>
      <c r="O410" s="421"/>
      <c r="P410" s="421"/>
      <c r="Q410" s="421"/>
    </row>
    <row r="411" spans="1:17" x14ac:dyDescent="0.2">
      <c r="G411" s="423">
        <f>SUM(G404:G410)</f>
        <v>930952.14000000013</v>
      </c>
      <c r="H411" s="422">
        <f t="shared" si="117"/>
        <v>-2.0385778233443862E-2</v>
      </c>
      <c r="I411" s="423">
        <f t="shared" si="118"/>
        <v>-19373.119999999879</v>
      </c>
    </row>
    <row r="413" spans="1:17" ht="15.75" x14ac:dyDescent="0.25">
      <c r="A413" s="426">
        <v>43069</v>
      </c>
      <c r="B413" s="424" t="s">
        <v>343</v>
      </c>
      <c r="C413" s="424" t="s">
        <v>33</v>
      </c>
      <c r="D413" s="424" t="s">
        <v>34</v>
      </c>
      <c r="E413" s="424" t="s">
        <v>35</v>
      </c>
      <c r="F413" s="424" t="s">
        <v>103</v>
      </c>
      <c r="G413" s="425" t="s">
        <v>9</v>
      </c>
    </row>
    <row r="414" spans="1:17" x14ac:dyDescent="0.2">
      <c r="A414" s="420" t="s">
        <v>397</v>
      </c>
      <c r="B414" s="420" t="s">
        <v>21</v>
      </c>
      <c r="C414" s="420" t="s">
        <v>38</v>
      </c>
      <c r="D414" s="423">
        <v>132.29</v>
      </c>
      <c r="E414" s="423">
        <v>204.7</v>
      </c>
      <c r="F414" s="423">
        <v>2048.17</v>
      </c>
      <c r="G414" s="423">
        <f t="shared" ref="G414:G421" si="119">SUM(D414:F414)</f>
        <v>2385.16</v>
      </c>
      <c r="H414" s="422">
        <f>IF(G404&gt;0,(G414-G404)/G404,0)</f>
        <v>3.7418501781108393E-2</v>
      </c>
      <c r="I414" s="423">
        <f>G414-G404</f>
        <v>86.029999999999745</v>
      </c>
    </row>
    <row r="415" spans="1:17" x14ac:dyDescent="0.2">
      <c r="A415" s="420" t="s">
        <v>397</v>
      </c>
      <c r="B415" s="420" t="s">
        <v>351</v>
      </c>
      <c r="C415" s="420" t="s">
        <v>38</v>
      </c>
      <c r="D415" s="423">
        <v>0</v>
      </c>
      <c r="E415" s="423">
        <v>0</v>
      </c>
      <c r="F415" s="423">
        <v>0</v>
      </c>
      <c r="G415" s="423">
        <f t="shared" si="119"/>
        <v>0</v>
      </c>
      <c r="H415" s="422">
        <f>IF(G405&gt;0,(G415-G405)/G405,0)</f>
        <v>0</v>
      </c>
      <c r="I415" s="423">
        <f>G415-G405</f>
        <v>0</v>
      </c>
    </row>
    <row r="416" spans="1:17" x14ac:dyDescent="0.2">
      <c r="A416" s="420" t="s">
        <v>397</v>
      </c>
      <c r="B416" s="420" t="s">
        <v>345</v>
      </c>
      <c r="C416" s="420" t="s">
        <v>38</v>
      </c>
      <c r="D416" s="423">
        <v>9250.44</v>
      </c>
      <c r="E416" s="423">
        <v>3677.8</v>
      </c>
      <c r="F416" s="423">
        <v>138511.07999999999</v>
      </c>
      <c r="G416" s="423">
        <f t="shared" si="119"/>
        <v>151439.31999999998</v>
      </c>
      <c r="H416" s="422">
        <f>IF(G406&gt;0,(G416-G406)/G406,0)</f>
        <v>7.3454598475509742E-3</v>
      </c>
      <c r="I416" s="423">
        <f>G416-G406</f>
        <v>1104.2799999999697</v>
      </c>
    </row>
    <row r="417" spans="1:9" x14ac:dyDescent="0.2">
      <c r="A417" s="420" t="s">
        <v>397</v>
      </c>
      <c r="B417" s="420" t="s">
        <v>345</v>
      </c>
      <c r="C417" s="420" t="s">
        <v>39</v>
      </c>
      <c r="D417" s="423">
        <v>0</v>
      </c>
      <c r="E417" s="423">
        <v>0</v>
      </c>
      <c r="F417" s="423">
        <v>0</v>
      </c>
      <c r="G417" s="423">
        <f t="shared" si="119"/>
        <v>0</v>
      </c>
      <c r="H417" s="422"/>
      <c r="I417" s="423"/>
    </row>
    <row r="418" spans="1:9" x14ac:dyDescent="0.2">
      <c r="A418" s="420" t="s">
        <v>397</v>
      </c>
      <c r="B418" s="420" t="s">
        <v>348</v>
      </c>
      <c r="C418" s="420" t="s">
        <v>38</v>
      </c>
      <c r="D418" s="423">
        <v>61431.13</v>
      </c>
      <c r="E418" s="423">
        <v>19297.95</v>
      </c>
      <c r="F418" s="423">
        <v>526822.89</v>
      </c>
      <c r="G418" s="423">
        <f t="shared" si="119"/>
        <v>607551.97</v>
      </c>
      <c r="H418" s="422">
        <f>IF(G407&gt;0,(G418-G407)/G407,0)</f>
        <v>5.8496355704077171E-2</v>
      </c>
      <c r="I418" s="423">
        <f>G418-G407</f>
        <v>33575.529999999912</v>
      </c>
    </row>
    <row r="419" spans="1:9" x14ac:dyDescent="0.2">
      <c r="A419" s="420" t="s">
        <v>397</v>
      </c>
      <c r="B419" s="420" t="s">
        <v>348</v>
      </c>
      <c r="C419" s="420" t="s">
        <v>39</v>
      </c>
      <c r="D419" s="423">
        <v>21762.77</v>
      </c>
      <c r="E419" s="423">
        <v>6406.6</v>
      </c>
      <c r="F419" s="423">
        <v>67747.78</v>
      </c>
      <c r="G419" s="423">
        <f t="shared" si="119"/>
        <v>95917.15</v>
      </c>
      <c r="H419" s="422">
        <f>IF(G408&gt;0,(G419-G408)/G408,0)</f>
        <v>0.14364893513009513</v>
      </c>
      <c r="I419" s="423">
        <f>G419-G408</f>
        <v>12047.75</v>
      </c>
    </row>
    <row r="420" spans="1:9" x14ac:dyDescent="0.2">
      <c r="A420" s="420" t="s">
        <v>397</v>
      </c>
      <c r="B420" s="420" t="s">
        <v>350</v>
      </c>
      <c r="C420" s="420" t="s">
        <v>38</v>
      </c>
      <c r="D420" s="423">
        <v>16818.490000000002</v>
      </c>
      <c r="E420" s="423">
        <v>4319.54</v>
      </c>
      <c r="F420" s="423">
        <v>99749.64</v>
      </c>
      <c r="G420" s="423">
        <f t="shared" si="119"/>
        <v>120887.67</v>
      </c>
      <c r="H420" s="422">
        <f>IF(G409&gt;0,(G420-G409)/G409,0)</f>
        <v>4.6353242818441304E-2</v>
      </c>
      <c r="I420" s="423">
        <f>G420-G409</f>
        <v>5355.3000000000029</v>
      </c>
    </row>
    <row r="421" spans="1:9" x14ac:dyDescent="0.2">
      <c r="A421" s="420" t="s">
        <v>397</v>
      </c>
      <c r="B421" s="420" t="s">
        <v>350</v>
      </c>
      <c r="C421" s="420" t="s">
        <v>39</v>
      </c>
      <c r="D421" s="423">
        <v>2339.0700000000002</v>
      </c>
      <c r="E421" s="423">
        <v>0</v>
      </c>
      <c r="F421" s="423">
        <v>3972.23</v>
      </c>
      <c r="G421" s="423">
        <f t="shared" si="119"/>
        <v>6311.3</v>
      </c>
      <c r="H421" s="422">
        <f>IF(G410&gt;0,(G421-G410)/G410,0)</f>
        <v>0.27765316533596773</v>
      </c>
      <c r="I421" s="423">
        <f>G421-G410</f>
        <v>1371.54</v>
      </c>
    </row>
    <row r="422" spans="1:9" x14ac:dyDescent="0.2">
      <c r="G422" s="423">
        <f>SUM(G414:G421)</f>
        <v>984492.57000000007</v>
      </c>
      <c r="H422" s="422">
        <f>IF(G411&gt;0,(G422-G411)/G411,0)</f>
        <v>5.7511474220361021E-2</v>
      </c>
      <c r="I422" s="423">
        <f>G422-G411</f>
        <v>53540.429999999935</v>
      </c>
    </row>
    <row r="424" spans="1:9" ht="15.75" x14ac:dyDescent="0.25">
      <c r="A424" s="426">
        <v>43100</v>
      </c>
      <c r="B424" s="424" t="s">
        <v>343</v>
      </c>
      <c r="C424" s="424" t="s">
        <v>33</v>
      </c>
      <c r="D424" s="424" t="s">
        <v>34</v>
      </c>
      <c r="E424" s="424" t="s">
        <v>35</v>
      </c>
      <c r="F424" s="424" t="s">
        <v>103</v>
      </c>
      <c r="G424" s="425" t="s">
        <v>9</v>
      </c>
    </row>
    <row r="425" spans="1:9" x14ac:dyDescent="0.2">
      <c r="A425" s="420" t="s">
        <v>397</v>
      </c>
      <c r="B425" s="420" t="s">
        <v>21</v>
      </c>
      <c r="C425" s="420" t="s">
        <v>38</v>
      </c>
      <c r="D425" s="423">
        <v>8.32</v>
      </c>
      <c r="E425" s="423">
        <v>132.34</v>
      </c>
      <c r="F425" s="423">
        <v>2065.27</v>
      </c>
      <c r="G425" s="423">
        <f t="shared" ref="G425:G431" si="120">SUM(D425:F425)</f>
        <v>2205.9299999999998</v>
      </c>
      <c r="H425" s="422">
        <f>IF(G414&gt;0,(G425-G414)/G414,0)</f>
        <v>-7.5143805866273131E-2</v>
      </c>
      <c r="I425" s="423">
        <f>G425-G414</f>
        <v>-179.23000000000002</v>
      </c>
    </row>
    <row r="426" spans="1:9" x14ac:dyDescent="0.2">
      <c r="A426" s="420" t="s">
        <v>397</v>
      </c>
      <c r="B426" s="420" t="s">
        <v>351</v>
      </c>
      <c r="C426" s="420" t="s">
        <v>38</v>
      </c>
      <c r="D426" s="423">
        <v>0</v>
      </c>
      <c r="E426" s="423">
        <v>0</v>
      </c>
      <c r="F426" s="423">
        <v>0</v>
      </c>
      <c r="G426" s="423">
        <f t="shared" si="120"/>
        <v>0</v>
      </c>
      <c r="H426" s="422">
        <f>IF(G415&gt;0,(G426-G415)/G415,0)</f>
        <v>0</v>
      </c>
      <c r="I426" s="423">
        <f>G426-G415</f>
        <v>0</v>
      </c>
    </row>
    <row r="427" spans="1:9" x14ac:dyDescent="0.2">
      <c r="A427" s="420" t="s">
        <v>397</v>
      </c>
      <c r="B427" s="420" t="s">
        <v>345</v>
      </c>
      <c r="C427" s="420" t="s">
        <v>38</v>
      </c>
      <c r="D427" s="423">
        <v>13259.31</v>
      </c>
      <c r="E427" s="423">
        <v>7648.28</v>
      </c>
      <c r="F427" s="423">
        <v>139485.44</v>
      </c>
      <c r="G427" s="423">
        <f t="shared" si="120"/>
        <v>160393.03</v>
      </c>
      <c r="H427" s="422">
        <f>IF(G416&gt;0,(G427-G416)/G416,0)</f>
        <v>5.9124076890995164E-2</v>
      </c>
      <c r="I427" s="423">
        <f>G427-G416</f>
        <v>8953.710000000021</v>
      </c>
    </row>
    <row r="428" spans="1:9" x14ac:dyDescent="0.2">
      <c r="A428" s="420" t="s">
        <v>397</v>
      </c>
      <c r="B428" s="420" t="s">
        <v>348</v>
      </c>
      <c r="C428" s="420" t="s">
        <v>38</v>
      </c>
      <c r="D428" s="423">
        <v>61678.64</v>
      </c>
      <c r="E428" s="423">
        <v>44581.06</v>
      </c>
      <c r="F428" s="423">
        <v>523714.36</v>
      </c>
      <c r="G428" s="423">
        <f t="shared" si="120"/>
        <v>629974.05999999994</v>
      </c>
      <c r="H428" s="422">
        <f>IF(G418&gt;0,(G428-G418)/G418,0)</f>
        <v>3.6905632945277038E-2</v>
      </c>
      <c r="I428" s="423">
        <f>G428-G418</f>
        <v>22422.089999999967</v>
      </c>
    </row>
    <row r="429" spans="1:9" x14ac:dyDescent="0.2">
      <c r="A429" s="420" t="s">
        <v>397</v>
      </c>
      <c r="B429" s="420" t="s">
        <v>348</v>
      </c>
      <c r="C429" s="420" t="s">
        <v>39</v>
      </c>
      <c r="D429" s="423">
        <v>15314.64</v>
      </c>
      <c r="E429" s="423">
        <v>17225.45</v>
      </c>
      <c r="F429" s="423">
        <v>66957.7</v>
      </c>
      <c r="G429" s="423">
        <f t="shared" si="120"/>
        <v>99497.79</v>
      </c>
      <c r="H429" s="422">
        <f>IF(G419&gt;0,(G429-G419)/G419,0)</f>
        <v>3.7330550376027644E-2</v>
      </c>
      <c r="I429" s="423">
        <f>G429-G419</f>
        <v>3580.6399999999994</v>
      </c>
    </row>
    <row r="430" spans="1:9" x14ac:dyDescent="0.2">
      <c r="A430" s="420" t="s">
        <v>397</v>
      </c>
      <c r="B430" s="420" t="s">
        <v>350</v>
      </c>
      <c r="C430" s="420" t="s">
        <v>38</v>
      </c>
      <c r="D430" s="423">
        <v>4715.5200000000004</v>
      </c>
      <c r="E430" s="423">
        <v>14431.81</v>
      </c>
      <c r="F430" s="423">
        <v>97987.67</v>
      </c>
      <c r="G430" s="423">
        <f t="shared" si="120"/>
        <v>117135</v>
      </c>
      <c r="H430" s="422">
        <f>IF(G420&gt;0,(G430-G420)/G420,0)</f>
        <v>-3.1042619979357682E-2</v>
      </c>
      <c r="I430" s="423">
        <f>G430-G420</f>
        <v>-3752.6699999999983</v>
      </c>
    </row>
    <row r="431" spans="1:9" x14ac:dyDescent="0.2">
      <c r="A431" s="420" t="s">
        <v>397</v>
      </c>
      <c r="B431" s="420" t="s">
        <v>350</v>
      </c>
      <c r="C431" s="420" t="s">
        <v>39</v>
      </c>
      <c r="D431" s="423">
        <v>0</v>
      </c>
      <c r="E431" s="423">
        <v>2337.3200000000002</v>
      </c>
      <c r="F431" s="423">
        <v>3007.87</v>
      </c>
      <c r="G431" s="423">
        <f t="shared" si="120"/>
        <v>5345.1900000000005</v>
      </c>
      <c r="H431" s="422">
        <f>IF(G421&gt;0,(G431-G421)/G421,0)</f>
        <v>-0.15307622835232038</v>
      </c>
      <c r="I431" s="423">
        <f>G431-G421</f>
        <v>-966.10999999999967</v>
      </c>
    </row>
    <row r="432" spans="1:9" x14ac:dyDescent="0.2">
      <c r="G432" s="423">
        <f>SUM(G425:G431)</f>
        <v>1014550.9999999999</v>
      </c>
      <c r="H432" s="422">
        <f>IF(G422&gt;0,(G432-G422)/G422,0)</f>
        <v>3.0531901322525791E-2</v>
      </c>
      <c r="I432" s="423">
        <f>G432-G422</f>
        <v>30058.429999999818</v>
      </c>
    </row>
    <row r="434" spans="1:9" ht="15.75" x14ac:dyDescent="0.25">
      <c r="A434" s="426">
        <v>43131</v>
      </c>
      <c r="B434" s="424" t="s">
        <v>343</v>
      </c>
      <c r="C434" s="424" t="s">
        <v>33</v>
      </c>
      <c r="D434" s="424" t="s">
        <v>34</v>
      </c>
      <c r="E434" s="424" t="s">
        <v>35</v>
      </c>
      <c r="F434" s="424" t="s">
        <v>103</v>
      </c>
      <c r="G434" s="425" t="s">
        <v>9</v>
      </c>
    </row>
    <row r="435" spans="1:9" x14ac:dyDescent="0.2">
      <c r="A435" s="420" t="s">
        <v>397</v>
      </c>
      <c r="B435" s="420" t="s">
        <v>21</v>
      </c>
      <c r="C435" s="420" t="s">
        <v>38</v>
      </c>
      <c r="D435" s="423">
        <v>233.74</v>
      </c>
      <c r="E435" s="423">
        <v>1.7</v>
      </c>
      <c r="F435" s="423">
        <v>726.66</v>
      </c>
      <c r="G435" s="423">
        <f t="shared" ref="G435:G441" si="121">SUM(D435:F435)</f>
        <v>962.09999999999991</v>
      </c>
      <c r="H435" s="422">
        <f t="shared" ref="H435:H442" si="122">IF(G425&gt;0,(G435-G425)/G425,0)</f>
        <v>-0.56385742067971334</v>
      </c>
      <c r="I435" s="423">
        <f t="shared" ref="I435:I442" si="123">G435-G425</f>
        <v>-1243.83</v>
      </c>
    </row>
    <row r="436" spans="1:9" x14ac:dyDescent="0.2">
      <c r="A436" s="420" t="s">
        <v>397</v>
      </c>
      <c r="B436" s="420" t="s">
        <v>351</v>
      </c>
      <c r="C436" s="420" t="s">
        <v>38</v>
      </c>
      <c r="D436" s="423">
        <v>0</v>
      </c>
      <c r="E436" s="423">
        <v>0</v>
      </c>
      <c r="F436" s="423">
        <v>0</v>
      </c>
      <c r="G436" s="423">
        <f t="shared" si="121"/>
        <v>0</v>
      </c>
      <c r="H436" s="422">
        <f t="shared" si="122"/>
        <v>0</v>
      </c>
      <c r="I436" s="423">
        <f t="shared" si="123"/>
        <v>0</v>
      </c>
    </row>
    <row r="437" spans="1:9" x14ac:dyDescent="0.2">
      <c r="A437" s="420" t="s">
        <v>397</v>
      </c>
      <c r="B437" s="420" t="s">
        <v>345</v>
      </c>
      <c r="C437" s="420" t="s">
        <v>38</v>
      </c>
      <c r="D437" s="423">
        <v>7167.96</v>
      </c>
      <c r="E437" s="423">
        <v>9076.1200000000008</v>
      </c>
      <c r="F437" s="423">
        <v>142071.92000000001</v>
      </c>
      <c r="G437" s="423">
        <f t="shared" si="121"/>
        <v>158316</v>
      </c>
      <c r="H437" s="422">
        <f t="shared" si="122"/>
        <v>-1.2949627549276916E-2</v>
      </c>
      <c r="I437" s="423">
        <f t="shared" si="123"/>
        <v>-2077.0299999999988</v>
      </c>
    </row>
    <row r="438" spans="1:9" x14ac:dyDescent="0.2">
      <c r="A438" s="420" t="s">
        <v>397</v>
      </c>
      <c r="B438" s="420" t="s">
        <v>348</v>
      </c>
      <c r="C438" s="420" t="s">
        <v>38</v>
      </c>
      <c r="D438" s="423">
        <v>33659.64</v>
      </c>
      <c r="E438" s="423">
        <v>48704.91</v>
      </c>
      <c r="F438" s="423">
        <v>545143.29</v>
      </c>
      <c r="G438" s="423">
        <f t="shared" si="121"/>
        <v>627507.84000000008</v>
      </c>
      <c r="H438" s="422">
        <f t="shared" si="122"/>
        <v>-3.9147961108110642E-3</v>
      </c>
      <c r="I438" s="423">
        <f t="shared" si="123"/>
        <v>-2466.2199999998556</v>
      </c>
    </row>
    <row r="439" spans="1:9" x14ac:dyDescent="0.2">
      <c r="A439" s="420" t="s">
        <v>397</v>
      </c>
      <c r="B439" s="420" t="s">
        <v>348</v>
      </c>
      <c r="C439" s="420" t="s">
        <v>39</v>
      </c>
      <c r="D439" s="423">
        <v>12539.76</v>
      </c>
      <c r="E439" s="423">
        <v>12233.23</v>
      </c>
      <c r="F439" s="423">
        <v>75064.89</v>
      </c>
      <c r="G439" s="423">
        <f t="shared" si="121"/>
        <v>99837.88</v>
      </c>
      <c r="H439" s="422">
        <f t="shared" si="122"/>
        <v>3.418065868598801E-3</v>
      </c>
      <c r="I439" s="423">
        <f t="shared" si="123"/>
        <v>340.09000000001106</v>
      </c>
    </row>
    <row r="440" spans="1:9" x14ac:dyDescent="0.2">
      <c r="A440" s="420" t="s">
        <v>397</v>
      </c>
      <c r="B440" s="420" t="s">
        <v>350</v>
      </c>
      <c r="C440" s="420" t="s">
        <v>38</v>
      </c>
      <c r="D440" s="423">
        <v>1130.03</v>
      </c>
      <c r="E440" s="423">
        <v>4237.3100000000004</v>
      </c>
      <c r="F440" s="423">
        <v>101863.55</v>
      </c>
      <c r="G440" s="423">
        <f t="shared" si="121"/>
        <v>107230.89</v>
      </c>
      <c r="H440" s="422">
        <f t="shared" si="122"/>
        <v>-8.4552951722371622E-2</v>
      </c>
      <c r="I440" s="423">
        <f t="shared" si="123"/>
        <v>-9904.11</v>
      </c>
    </row>
    <row r="441" spans="1:9" x14ac:dyDescent="0.2">
      <c r="A441" s="420" t="s">
        <v>397</v>
      </c>
      <c r="B441" s="420" t="s">
        <v>350</v>
      </c>
      <c r="C441" s="420" t="s">
        <v>39</v>
      </c>
      <c r="D441" s="423">
        <v>0</v>
      </c>
      <c r="E441" s="423">
        <v>0</v>
      </c>
      <c r="F441" s="423">
        <v>4377.7700000000004</v>
      </c>
      <c r="G441" s="423">
        <f t="shared" si="121"/>
        <v>4377.7700000000004</v>
      </c>
      <c r="H441" s="422">
        <f t="shared" si="122"/>
        <v>-0.18098888907597296</v>
      </c>
      <c r="I441" s="423">
        <f t="shared" si="123"/>
        <v>-967.42000000000007</v>
      </c>
    </row>
    <row r="442" spans="1:9" x14ac:dyDescent="0.2">
      <c r="G442" s="423">
        <f>SUM(G435:G441)</f>
        <v>998232.4800000001</v>
      </c>
      <c r="H442" s="422">
        <f t="shared" si="122"/>
        <v>-1.6084474807081937E-2</v>
      </c>
      <c r="I442" s="423">
        <f t="shared" si="123"/>
        <v>-16318.519999999786</v>
      </c>
    </row>
    <row r="444" spans="1:9" ht="15.75" x14ac:dyDescent="0.25">
      <c r="A444" s="426">
        <v>43159</v>
      </c>
      <c r="B444" s="424" t="s">
        <v>343</v>
      </c>
      <c r="C444" s="424" t="s">
        <v>33</v>
      </c>
      <c r="D444" s="424" t="s">
        <v>34</v>
      </c>
      <c r="E444" s="424" t="s">
        <v>35</v>
      </c>
      <c r="F444" s="424" t="s">
        <v>103</v>
      </c>
      <c r="G444" s="425" t="s">
        <v>9</v>
      </c>
    </row>
    <row r="445" spans="1:9" x14ac:dyDescent="0.2">
      <c r="A445" s="420" t="s">
        <v>397</v>
      </c>
      <c r="B445" s="420" t="s">
        <v>21</v>
      </c>
      <c r="C445" s="420" t="s">
        <v>38</v>
      </c>
      <c r="D445" s="423">
        <v>99834.29</v>
      </c>
      <c r="E445" s="423">
        <v>1.6</v>
      </c>
      <c r="F445" s="423">
        <v>728.36</v>
      </c>
      <c r="G445" s="423">
        <f t="shared" ref="G445:G451" si="124">SUM(D445:F445)</f>
        <v>100564.25</v>
      </c>
      <c r="H445" s="422">
        <f t="shared" ref="H445:H452" si="125">IF(G435&gt;0,(G445-G435)/G435,0)</f>
        <v>103.52577694626339</v>
      </c>
      <c r="I445" s="423">
        <f t="shared" ref="I445:I452" si="126">G445-G435</f>
        <v>99602.15</v>
      </c>
    </row>
    <row r="446" spans="1:9" x14ac:dyDescent="0.2">
      <c r="A446" s="420" t="s">
        <v>397</v>
      </c>
      <c r="B446" s="420" t="s">
        <v>351</v>
      </c>
      <c r="C446" s="420" t="s">
        <v>38</v>
      </c>
      <c r="D446" s="423">
        <v>0</v>
      </c>
      <c r="E446" s="423">
        <v>0</v>
      </c>
      <c r="F446" s="423">
        <v>0</v>
      </c>
      <c r="G446" s="423">
        <f t="shared" si="124"/>
        <v>0</v>
      </c>
      <c r="H446" s="422">
        <f t="shared" si="125"/>
        <v>0</v>
      </c>
      <c r="I446" s="423">
        <f t="shared" si="126"/>
        <v>0</v>
      </c>
    </row>
    <row r="447" spans="1:9" x14ac:dyDescent="0.2">
      <c r="A447" s="420" t="s">
        <v>397</v>
      </c>
      <c r="B447" s="420" t="s">
        <v>345</v>
      </c>
      <c r="C447" s="420" t="s">
        <v>38</v>
      </c>
      <c r="D447" s="423">
        <v>26967.439999999999</v>
      </c>
      <c r="E447" s="423">
        <v>4748.74</v>
      </c>
      <c r="F447" s="423">
        <v>145849.60999999999</v>
      </c>
      <c r="G447" s="423">
        <f t="shared" si="124"/>
        <v>177565.78999999998</v>
      </c>
      <c r="H447" s="422">
        <f t="shared" si="125"/>
        <v>0.12159093205993064</v>
      </c>
      <c r="I447" s="423">
        <f t="shared" si="126"/>
        <v>19249.789999999979</v>
      </c>
    </row>
    <row r="448" spans="1:9" x14ac:dyDescent="0.2">
      <c r="A448" s="420" t="s">
        <v>397</v>
      </c>
      <c r="B448" s="420" t="s">
        <v>348</v>
      </c>
      <c r="C448" s="420" t="s">
        <v>38</v>
      </c>
      <c r="D448" s="423">
        <v>58085.51</v>
      </c>
      <c r="E448" s="423">
        <v>16950.88</v>
      </c>
      <c r="F448" s="423">
        <v>559889.6</v>
      </c>
      <c r="G448" s="423">
        <f t="shared" si="124"/>
        <v>634925.99</v>
      </c>
      <c r="H448" s="422">
        <f t="shared" si="125"/>
        <v>1.1821605288628594E-2</v>
      </c>
      <c r="I448" s="423">
        <f t="shared" si="126"/>
        <v>7418.1499999999069</v>
      </c>
    </row>
    <row r="449" spans="1:9" x14ac:dyDescent="0.2">
      <c r="A449" s="420" t="s">
        <v>397</v>
      </c>
      <c r="B449" s="420" t="s">
        <v>348</v>
      </c>
      <c r="C449" s="420" t="s">
        <v>39</v>
      </c>
      <c r="D449" s="423">
        <v>31568.79</v>
      </c>
      <c r="E449" s="423">
        <v>8385.24</v>
      </c>
      <c r="F449" s="423">
        <v>76517.37</v>
      </c>
      <c r="G449" s="423">
        <f t="shared" si="124"/>
        <v>116471.4</v>
      </c>
      <c r="H449" s="422">
        <f t="shared" si="125"/>
        <v>0.16660530051319186</v>
      </c>
      <c r="I449" s="423">
        <f t="shared" si="126"/>
        <v>16633.51999999999</v>
      </c>
    </row>
    <row r="450" spans="1:9" x14ac:dyDescent="0.2">
      <c r="A450" s="420" t="s">
        <v>397</v>
      </c>
      <c r="B450" s="420" t="s">
        <v>350</v>
      </c>
      <c r="C450" s="420" t="s">
        <v>38</v>
      </c>
      <c r="D450" s="423">
        <v>12344.2</v>
      </c>
      <c r="E450" s="423">
        <v>40.07</v>
      </c>
      <c r="F450" s="423">
        <v>98829.9</v>
      </c>
      <c r="G450" s="423">
        <f t="shared" si="124"/>
        <v>111214.17</v>
      </c>
      <c r="H450" s="422">
        <f t="shared" si="125"/>
        <v>3.7146758737151196E-2</v>
      </c>
      <c r="I450" s="423">
        <f t="shared" si="126"/>
        <v>3983.2799999999988</v>
      </c>
    </row>
    <row r="451" spans="1:9" x14ac:dyDescent="0.2">
      <c r="A451" s="420" t="s">
        <v>397</v>
      </c>
      <c r="B451" s="420" t="s">
        <v>350</v>
      </c>
      <c r="C451" s="420" t="s">
        <v>39</v>
      </c>
      <c r="D451" s="423">
        <v>3010.57</v>
      </c>
      <c r="E451" s="423">
        <v>0</v>
      </c>
      <c r="F451" s="423">
        <v>4377.7700000000004</v>
      </c>
      <c r="G451" s="423">
        <f t="shared" si="124"/>
        <v>7388.34</v>
      </c>
      <c r="H451" s="422">
        <f t="shared" si="125"/>
        <v>0.68769487661526285</v>
      </c>
      <c r="I451" s="423">
        <f t="shared" si="126"/>
        <v>3010.5699999999997</v>
      </c>
    </row>
    <row r="452" spans="1:9" x14ac:dyDescent="0.2">
      <c r="G452" s="423">
        <f>SUM(G445:G451)</f>
        <v>1148129.9400000002</v>
      </c>
      <c r="H452" s="422">
        <f t="shared" si="125"/>
        <v>0.15016287588638677</v>
      </c>
      <c r="I452" s="423">
        <f t="shared" si="126"/>
        <v>149897.46000000008</v>
      </c>
    </row>
    <row r="454" spans="1:9" ht="15.75" x14ac:dyDescent="0.25">
      <c r="A454" s="426">
        <v>43190</v>
      </c>
      <c r="B454" s="424" t="s">
        <v>343</v>
      </c>
      <c r="C454" s="424" t="s">
        <v>33</v>
      </c>
      <c r="D454" s="424" t="s">
        <v>34</v>
      </c>
      <c r="E454" s="424" t="s">
        <v>35</v>
      </c>
      <c r="F454" s="424" t="s">
        <v>103</v>
      </c>
      <c r="G454" s="425" t="s">
        <v>9</v>
      </c>
    </row>
    <row r="455" spans="1:9" x14ac:dyDescent="0.2">
      <c r="A455" s="420" t="s">
        <v>397</v>
      </c>
      <c r="B455" s="420" t="s">
        <v>21</v>
      </c>
      <c r="C455" s="420" t="s">
        <v>38</v>
      </c>
      <c r="D455" s="423">
        <v>5655.82</v>
      </c>
      <c r="E455" s="423">
        <v>99834.29</v>
      </c>
      <c r="F455" s="423">
        <v>724.71</v>
      </c>
      <c r="G455" s="423">
        <f t="shared" ref="G455:G461" si="127">SUM(D455:F455)</f>
        <v>106214.81999999999</v>
      </c>
      <c r="H455" s="422">
        <f t="shared" ref="H455:H462" si="128">IF(G445&gt;0,(G455-G445)/G445,0)</f>
        <v>5.6188655511277538E-2</v>
      </c>
      <c r="I455" s="423">
        <f>G455-G445</f>
        <v>5650.5699999999924</v>
      </c>
    </row>
    <row r="456" spans="1:9" x14ac:dyDescent="0.2">
      <c r="A456" s="420" t="s">
        <v>397</v>
      </c>
      <c r="B456" s="420" t="s">
        <v>351</v>
      </c>
      <c r="C456" s="420" t="s">
        <v>38</v>
      </c>
      <c r="D456" s="423">
        <v>0</v>
      </c>
      <c r="E456" s="423">
        <v>0</v>
      </c>
      <c r="F456" s="423">
        <v>0</v>
      </c>
      <c r="G456" s="423">
        <f t="shared" si="127"/>
        <v>0</v>
      </c>
      <c r="H456" s="422">
        <f t="shared" si="128"/>
        <v>0</v>
      </c>
      <c r="I456" s="423">
        <f t="shared" ref="I456:I462" si="129">G456-G446</f>
        <v>0</v>
      </c>
    </row>
    <row r="457" spans="1:9" x14ac:dyDescent="0.2">
      <c r="A457" s="420" t="s">
        <v>397</v>
      </c>
      <c r="B457" s="420" t="s">
        <v>345</v>
      </c>
      <c r="C457" s="420" t="s">
        <v>38</v>
      </c>
      <c r="D457" s="423">
        <v>13495.95</v>
      </c>
      <c r="E457" s="423">
        <v>9132.7999999999993</v>
      </c>
      <c r="F457" s="423">
        <v>147729.48000000001</v>
      </c>
      <c r="G457" s="423">
        <f t="shared" si="127"/>
        <v>170358.23</v>
      </c>
      <c r="H457" s="422">
        <f t="shared" si="128"/>
        <v>-4.0590926889689558E-2</v>
      </c>
      <c r="I457" s="423">
        <f>G457-G447</f>
        <v>-7207.5599999999686</v>
      </c>
    </row>
    <row r="458" spans="1:9" x14ac:dyDescent="0.2">
      <c r="A458" s="420" t="s">
        <v>397</v>
      </c>
      <c r="B458" s="420" t="s">
        <v>348</v>
      </c>
      <c r="C458" s="420" t="s">
        <v>38</v>
      </c>
      <c r="D458" s="423">
        <v>66770.06</v>
      </c>
      <c r="E458" s="423">
        <v>43757.33</v>
      </c>
      <c r="F458" s="423">
        <v>552826.68000000005</v>
      </c>
      <c r="G458" s="423">
        <f t="shared" si="127"/>
        <v>663354.07000000007</v>
      </c>
      <c r="H458" s="422">
        <f t="shared" si="128"/>
        <v>4.4773848366169537E-2</v>
      </c>
      <c r="I458" s="423">
        <f t="shared" si="129"/>
        <v>28428.080000000075</v>
      </c>
    </row>
    <row r="459" spans="1:9" x14ac:dyDescent="0.2">
      <c r="A459" s="420" t="s">
        <v>397</v>
      </c>
      <c r="B459" s="420" t="s">
        <v>348</v>
      </c>
      <c r="C459" s="420" t="s">
        <v>39</v>
      </c>
      <c r="D459" s="423">
        <v>17978.759999999998</v>
      </c>
      <c r="E459" s="423">
        <v>25635.59</v>
      </c>
      <c r="F459" s="423">
        <v>74971.05</v>
      </c>
      <c r="G459" s="423">
        <f t="shared" si="127"/>
        <v>118585.4</v>
      </c>
      <c r="H459" s="422">
        <f t="shared" si="128"/>
        <v>1.8150378547866688E-2</v>
      </c>
      <c r="I459" s="423">
        <f t="shared" si="129"/>
        <v>2114</v>
      </c>
    </row>
    <row r="460" spans="1:9" x14ac:dyDescent="0.2">
      <c r="A460" s="420" t="s">
        <v>397</v>
      </c>
      <c r="B460" s="420" t="s">
        <v>350</v>
      </c>
      <c r="C460" s="420" t="s">
        <v>38</v>
      </c>
      <c r="D460" s="423">
        <v>6461.89</v>
      </c>
      <c r="E460" s="423">
        <v>11609.49</v>
      </c>
      <c r="F460" s="423">
        <v>94057.43</v>
      </c>
      <c r="G460" s="423">
        <f t="shared" si="127"/>
        <v>112128.81</v>
      </c>
      <c r="H460" s="422">
        <f t="shared" si="128"/>
        <v>8.2241318709657188E-3</v>
      </c>
      <c r="I460" s="423">
        <f t="shared" si="129"/>
        <v>914.63999999999942</v>
      </c>
    </row>
    <row r="461" spans="1:9" x14ac:dyDescent="0.2">
      <c r="A461" s="420" t="s">
        <v>397</v>
      </c>
      <c r="B461" s="420" t="s">
        <v>350</v>
      </c>
      <c r="C461" s="420" t="s">
        <v>39</v>
      </c>
      <c r="D461" s="423">
        <v>0</v>
      </c>
      <c r="E461" s="423">
        <v>3010.57</v>
      </c>
      <c r="F461" s="423">
        <v>3456.45</v>
      </c>
      <c r="G461" s="423">
        <f t="shared" si="127"/>
        <v>6467.02</v>
      </c>
      <c r="H461" s="422">
        <f t="shared" si="128"/>
        <v>-0.12469918818029485</v>
      </c>
      <c r="I461" s="423">
        <f t="shared" si="129"/>
        <v>-921.31999999999971</v>
      </c>
    </row>
    <row r="462" spans="1:9" x14ac:dyDescent="0.2">
      <c r="G462" s="423">
        <f>SUM(G455:G461)</f>
        <v>1177108.3500000001</v>
      </c>
      <c r="H462" s="422">
        <f t="shared" si="128"/>
        <v>2.5239660591030239E-2</v>
      </c>
      <c r="I462" s="423">
        <f t="shared" si="129"/>
        <v>28978.409999999916</v>
      </c>
    </row>
    <row r="464" spans="1:9" ht="15.75" x14ac:dyDescent="0.25">
      <c r="A464" s="426">
        <v>43220</v>
      </c>
      <c r="B464" s="424" t="s">
        <v>343</v>
      </c>
      <c r="C464" s="424" t="s">
        <v>33</v>
      </c>
      <c r="D464" s="424" t="s">
        <v>34</v>
      </c>
      <c r="E464" s="424" t="s">
        <v>35</v>
      </c>
      <c r="F464" s="424" t="s">
        <v>103</v>
      </c>
      <c r="G464" s="425" t="s">
        <v>9</v>
      </c>
    </row>
    <row r="465" spans="1:9" x14ac:dyDescent="0.2">
      <c r="A465" s="420" t="s">
        <v>397</v>
      </c>
      <c r="B465" s="420" t="s">
        <v>21</v>
      </c>
      <c r="C465" s="420" t="s">
        <v>38</v>
      </c>
      <c r="D465" s="423">
        <v>490.51</v>
      </c>
      <c r="E465" s="423">
        <v>5.13</v>
      </c>
      <c r="F465" s="423">
        <v>1642.2</v>
      </c>
      <c r="G465" s="423">
        <f t="shared" ref="G465:G471" si="130">SUM(D465:F465)</f>
        <v>2137.84</v>
      </c>
      <c r="H465" s="422">
        <f t="shared" ref="H465:H472" si="131">IF(G455&gt;0,(G465-G455)/G455,0)</f>
        <v>-0.97987248860375609</v>
      </c>
      <c r="I465" s="423">
        <f t="shared" ref="I465:I472" si="132">G465-G455</f>
        <v>-104076.98</v>
      </c>
    </row>
    <row r="466" spans="1:9" x14ac:dyDescent="0.2">
      <c r="A466" s="420" t="s">
        <v>397</v>
      </c>
      <c r="B466" s="420" t="s">
        <v>351</v>
      </c>
      <c r="C466" s="420" t="s">
        <v>38</v>
      </c>
      <c r="D466" s="423">
        <v>855.85</v>
      </c>
      <c r="E466" s="423">
        <v>0</v>
      </c>
      <c r="F466" s="423">
        <v>0</v>
      </c>
      <c r="G466" s="423">
        <f t="shared" si="130"/>
        <v>855.85</v>
      </c>
      <c r="H466" s="422">
        <f t="shared" si="131"/>
        <v>0</v>
      </c>
      <c r="I466" s="423">
        <f t="shared" si="132"/>
        <v>855.85</v>
      </c>
    </row>
    <row r="467" spans="1:9" x14ac:dyDescent="0.2">
      <c r="A467" s="420" t="s">
        <v>397</v>
      </c>
      <c r="B467" s="420" t="s">
        <v>345</v>
      </c>
      <c r="C467" s="420" t="s">
        <v>38</v>
      </c>
      <c r="D467" s="423">
        <v>10282.24</v>
      </c>
      <c r="E467" s="423">
        <v>10303.52</v>
      </c>
      <c r="F467" s="423">
        <v>151030.01</v>
      </c>
      <c r="G467" s="423">
        <f t="shared" si="130"/>
        <v>171615.77000000002</v>
      </c>
      <c r="H467" s="422">
        <f t="shared" si="131"/>
        <v>7.3817390565751248E-3</v>
      </c>
      <c r="I467" s="423">
        <f t="shared" si="132"/>
        <v>1257.5400000000081</v>
      </c>
    </row>
    <row r="468" spans="1:9" x14ac:dyDescent="0.2">
      <c r="A468" s="420" t="s">
        <v>397</v>
      </c>
      <c r="B468" s="420" t="s">
        <v>348</v>
      </c>
      <c r="C468" s="420" t="s">
        <v>38</v>
      </c>
      <c r="D468" s="423">
        <v>30517.66</v>
      </c>
      <c r="E468" s="423">
        <v>54666.03</v>
      </c>
      <c r="F468" s="423">
        <v>567204.62</v>
      </c>
      <c r="G468" s="423">
        <f t="shared" si="130"/>
        <v>652388.31000000006</v>
      </c>
      <c r="H468" s="422">
        <f t="shared" si="131"/>
        <v>-1.6530779708640378E-2</v>
      </c>
      <c r="I468" s="423">
        <f t="shared" si="132"/>
        <v>-10965.760000000009</v>
      </c>
    </row>
    <row r="469" spans="1:9" x14ac:dyDescent="0.2">
      <c r="A469" s="420" t="s">
        <v>397</v>
      </c>
      <c r="B469" s="420" t="s">
        <v>348</v>
      </c>
      <c r="C469" s="420" t="s">
        <v>39</v>
      </c>
      <c r="D469" s="423">
        <v>9759.3700000000008</v>
      </c>
      <c r="E469" s="423">
        <v>14061.69</v>
      </c>
      <c r="F469" s="423">
        <v>86581.63</v>
      </c>
      <c r="G469" s="423">
        <f t="shared" si="130"/>
        <v>110402.69</v>
      </c>
      <c r="H469" s="422">
        <f t="shared" si="131"/>
        <v>-6.9002676552088138E-2</v>
      </c>
      <c r="I469" s="423">
        <f t="shared" si="132"/>
        <v>-8182.7099999999919</v>
      </c>
    </row>
    <row r="470" spans="1:9" x14ac:dyDescent="0.2">
      <c r="A470" s="420" t="s">
        <v>397</v>
      </c>
      <c r="B470" s="420" t="s">
        <v>350</v>
      </c>
      <c r="C470" s="420" t="s">
        <v>38</v>
      </c>
      <c r="D470" s="423">
        <v>2494.67</v>
      </c>
      <c r="E470" s="423">
        <v>5251.25</v>
      </c>
      <c r="F470" s="423">
        <v>102333.03</v>
      </c>
      <c r="G470" s="423">
        <f t="shared" si="130"/>
        <v>110078.95</v>
      </c>
      <c r="H470" s="422">
        <f t="shared" si="131"/>
        <v>-1.828129630556144E-2</v>
      </c>
      <c r="I470" s="423">
        <f t="shared" si="132"/>
        <v>-2049.8600000000006</v>
      </c>
    </row>
    <row r="471" spans="1:9" x14ac:dyDescent="0.2">
      <c r="A471" s="420" t="s">
        <v>397</v>
      </c>
      <c r="B471" s="420" t="s">
        <v>350</v>
      </c>
      <c r="C471" s="420" t="s">
        <v>39</v>
      </c>
      <c r="D471" s="423">
        <v>0</v>
      </c>
      <c r="E471" s="423">
        <v>0</v>
      </c>
      <c r="F471" s="423">
        <v>4478.0600000000004</v>
      </c>
      <c r="G471" s="423">
        <f t="shared" si="130"/>
        <v>4478.0600000000004</v>
      </c>
      <c r="H471" s="422">
        <f t="shared" si="131"/>
        <v>-0.30755432950570738</v>
      </c>
      <c r="I471" s="423">
        <f t="shared" si="132"/>
        <v>-1988.96</v>
      </c>
    </row>
    <row r="472" spans="1:9" x14ac:dyDescent="0.2">
      <c r="G472" s="423">
        <f>SUM(G465:G471)</f>
        <v>1051957.47</v>
      </c>
      <c r="H472" s="422">
        <f t="shared" si="131"/>
        <v>-0.10632061186211117</v>
      </c>
      <c r="I472" s="423">
        <f t="shared" si="132"/>
        <v>-125150.88000000012</v>
      </c>
    </row>
    <row r="474" spans="1:9" ht="15.75" x14ac:dyDescent="0.25">
      <c r="A474" s="426">
        <v>43251</v>
      </c>
      <c r="B474" s="424" t="s">
        <v>343</v>
      </c>
      <c r="C474" s="424" t="s">
        <v>33</v>
      </c>
      <c r="D474" s="424" t="s">
        <v>34</v>
      </c>
      <c r="E474" s="424" t="s">
        <v>35</v>
      </c>
      <c r="F474" s="424" t="s">
        <v>103</v>
      </c>
      <c r="G474" s="425" t="s">
        <v>9</v>
      </c>
    </row>
    <row r="475" spans="1:9" x14ac:dyDescent="0.2">
      <c r="A475" s="420" t="s">
        <v>397</v>
      </c>
      <c r="B475" s="420" t="s">
        <v>21</v>
      </c>
      <c r="C475" s="420" t="s">
        <v>38</v>
      </c>
      <c r="D475" s="423">
        <v>0</v>
      </c>
      <c r="E475" s="423">
        <v>0</v>
      </c>
      <c r="F475" s="423">
        <v>0</v>
      </c>
      <c r="G475" s="423">
        <f t="shared" ref="G475:G481" si="133">SUM(D475:F475)</f>
        <v>0</v>
      </c>
      <c r="H475" s="422">
        <f t="shared" ref="H475:H482" si="134">IF(G465&gt;0,(G475-G465)/G465,0)</f>
        <v>-1</v>
      </c>
      <c r="I475" s="423">
        <f>G475-G465</f>
        <v>-2137.84</v>
      </c>
    </row>
    <row r="476" spans="1:9" x14ac:dyDescent="0.2">
      <c r="A476" s="420" t="s">
        <v>397</v>
      </c>
      <c r="B476" s="420" t="s">
        <v>351</v>
      </c>
      <c r="C476" s="420" t="s">
        <v>38</v>
      </c>
      <c r="D476" s="423">
        <v>0</v>
      </c>
      <c r="E476" s="423">
        <v>0</v>
      </c>
      <c r="F476" s="423">
        <v>0</v>
      </c>
      <c r="G476" s="423">
        <f t="shared" si="133"/>
        <v>0</v>
      </c>
      <c r="H476" s="422">
        <f t="shared" si="134"/>
        <v>-1</v>
      </c>
      <c r="I476" s="423">
        <f t="shared" ref="I476:I482" si="135">G476-G466</f>
        <v>-855.85</v>
      </c>
    </row>
    <row r="477" spans="1:9" x14ac:dyDescent="0.2">
      <c r="A477" s="420" t="s">
        <v>397</v>
      </c>
      <c r="B477" s="420" t="s">
        <v>345</v>
      </c>
      <c r="C477" s="420" t="s">
        <v>38</v>
      </c>
      <c r="D477" s="423">
        <v>19991.8</v>
      </c>
      <c r="E477" s="423">
        <v>9520</v>
      </c>
      <c r="F477" s="423">
        <v>153271.74</v>
      </c>
      <c r="G477" s="423">
        <f t="shared" si="133"/>
        <v>182783.53999999998</v>
      </c>
      <c r="H477" s="422">
        <f t="shared" si="134"/>
        <v>6.5074264445510802E-2</v>
      </c>
      <c r="I477" s="423">
        <f t="shared" si="135"/>
        <v>11167.76999999996</v>
      </c>
    </row>
    <row r="478" spans="1:9" x14ac:dyDescent="0.2">
      <c r="A478" s="420" t="s">
        <v>397</v>
      </c>
      <c r="B478" s="420" t="s">
        <v>348</v>
      </c>
      <c r="C478" s="420" t="s">
        <v>38</v>
      </c>
      <c r="D478" s="423">
        <v>66646.820000000007</v>
      </c>
      <c r="E478" s="423">
        <v>25318.2</v>
      </c>
      <c r="F478" s="423">
        <v>572836.63</v>
      </c>
      <c r="G478" s="423">
        <f t="shared" si="133"/>
        <v>664801.65</v>
      </c>
      <c r="H478" s="422">
        <f t="shared" si="134"/>
        <v>1.9027532850795514E-2</v>
      </c>
      <c r="I478" s="423">
        <f t="shared" si="135"/>
        <v>12413.339999999967</v>
      </c>
    </row>
    <row r="479" spans="1:9" x14ac:dyDescent="0.2">
      <c r="A479" s="420" t="s">
        <v>397</v>
      </c>
      <c r="B479" s="420" t="s">
        <v>348</v>
      </c>
      <c r="C479" s="420" t="s">
        <v>39</v>
      </c>
      <c r="D479" s="423">
        <v>34850.85</v>
      </c>
      <c r="E479" s="423">
        <v>12262.38</v>
      </c>
      <c r="F479" s="423">
        <v>85669.85</v>
      </c>
      <c r="G479" s="423">
        <f t="shared" si="133"/>
        <v>132783.08000000002</v>
      </c>
      <c r="H479" s="422">
        <f t="shared" si="134"/>
        <v>0.20271598454711579</v>
      </c>
      <c r="I479" s="423">
        <f t="shared" si="135"/>
        <v>22380.390000000014</v>
      </c>
    </row>
    <row r="480" spans="1:9" x14ac:dyDescent="0.2">
      <c r="A480" s="420" t="s">
        <v>397</v>
      </c>
      <c r="B480" s="420" t="s">
        <v>350</v>
      </c>
      <c r="C480" s="420" t="s">
        <v>38</v>
      </c>
      <c r="D480" s="423">
        <v>32031.26</v>
      </c>
      <c r="E480" s="423">
        <v>1606.05</v>
      </c>
      <c r="F480" s="423">
        <v>99573.21</v>
      </c>
      <c r="G480" s="423">
        <f t="shared" si="133"/>
        <v>133210.52000000002</v>
      </c>
      <c r="H480" s="422">
        <f t="shared" si="134"/>
        <v>0.21013617953296268</v>
      </c>
      <c r="I480" s="423">
        <f t="shared" si="135"/>
        <v>23131.570000000022</v>
      </c>
    </row>
    <row r="481" spans="1:9" x14ac:dyDescent="0.2">
      <c r="A481" s="420" t="s">
        <v>397</v>
      </c>
      <c r="B481" s="420" t="s">
        <v>350</v>
      </c>
      <c r="C481" s="420" t="s">
        <v>39</v>
      </c>
      <c r="D481" s="423">
        <v>0</v>
      </c>
      <c r="E481" s="423">
        <v>0</v>
      </c>
      <c r="F481" s="423">
        <v>3496.19</v>
      </c>
      <c r="G481" s="423">
        <f t="shared" si="133"/>
        <v>3496.19</v>
      </c>
      <c r="H481" s="422">
        <f t="shared" si="134"/>
        <v>-0.21926235914659478</v>
      </c>
      <c r="I481" s="423">
        <f t="shared" si="135"/>
        <v>-981.87000000000035</v>
      </c>
    </row>
    <row r="482" spans="1:9" x14ac:dyDescent="0.2">
      <c r="G482" s="423">
        <f>SUM(G475:G481)</f>
        <v>1117074.98</v>
      </c>
      <c r="H482" s="422">
        <f t="shared" si="134"/>
        <v>6.1901276293993147E-2</v>
      </c>
      <c r="I482" s="423">
        <f t="shared" si="135"/>
        <v>65117.510000000009</v>
      </c>
    </row>
    <row r="484" spans="1:9" ht="15.75" x14ac:dyDescent="0.25">
      <c r="A484" s="426">
        <v>43281</v>
      </c>
      <c r="B484" s="424" t="s">
        <v>343</v>
      </c>
      <c r="C484" s="424" t="s">
        <v>33</v>
      </c>
      <c r="D484" s="424" t="s">
        <v>34</v>
      </c>
      <c r="E484" s="424" t="s">
        <v>35</v>
      </c>
      <c r="F484" s="424" t="s">
        <v>103</v>
      </c>
      <c r="G484" s="425" t="s">
        <v>9</v>
      </c>
    </row>
    <row r="485" spans="1:9" x14ac:dyDescent="0.2">
      <c r="A485" s="420" t="s">
        <v>397</v>
      </c>
      <c r="B485" s="420" t="s">
        <v>21</v>
      </c>
      <c r="C485" s="420" t="s">
        <v>38</v>
      </c>
      <c r="D485" s="423">
        <v>3675.7</v>
      </c>
      <c r="E485" s="423">
        <v>0</v>
      </c>
      <c r="F485" s="423">
        <v>0</v>
      </c>
      <c r="G485" s="423">
        <f t="shared" ref="G485:G491" si="136">SUM(D485:F485)</f>
        <v>3675.7</v>
      </c>
      <c r="H485" s="422">
        <f>IF(G475&gt;0,(G485-G475)/G475,0)</f>
        <v>0</v>
      </c>
      <c r="I485" s="423">
        <f>G485-G475</f>
        <v>3675.7</v>
      </c>
    </row>
    <row r="486" spans="1:9" x14ac:dyDescent="0.2">
      <c r="A486" s="420" t="s">
        <v>397</v>
      </c>
      <c r="B486" s="420" t="s">
        <v>351</v>
      </c>
      <c r="C486" s="420" t="s">
        <v>38</v>
      </c>
      <c r="D486" s="423">
        <v>0</v>
      </c>
      <c r="E486" s="423">
        <v>0</v>
      </c>
      <c r="F486" s="423">
        <v>0</v>
      </c>
      <c r="G486" s="423">
        <f t="shared" si="136"/>
        <v>0</v>
      </c>
      <c r="H486" s="422">
        <f t="shared" ref="H486:H492" si="137">IF(G476&gt;0,(G486-G476)/G476,0)</f>
        <v>0</v>
      </c>
      <c r="I486" s="423">
        <f t="shared" ref="I486:I492" si="138">G486-G476</f>
        <v>0</v>
      </c>
    </row>
    <row r="487" spans="1:9" x14ac:dyDescent="0.2">
      <c r="A487" s="420" t="s">
        <v>397</v>
      </c>
      <c r="B487" s="420" t="s">
        <v>345</v>
      </c>
      <c r="C487" s="420" t="s">
        <v>38</v>
      </c>
      <c r="D487" s="423">
        <v>10169.48</v>
      </c>
      <c r="E487" s="423">
        <v>16997.72</v>
      </c>
      <c r="F487" s="423">
        <v>154024.45000000001</v>
      </c>
      <c r="G487" s="423">
        <f t="shared" si="136"/>
        <v>181191.65000000002</v>
      </c>
      <c r="H487" s="422">
        <f t="shared" si="137"/>
        <v>-8.7091540080685374E-3</v>
      </c>
      <c r="I487" s="423">
        <f t="shared" si="138"/>
        <v>-1591.8899999999558</v>
      </c>
    </row>
    <row r="488" spans="1:9" x14ac:dyDescent="0.2">
      <c r="A488" s="420" t="s">
        <v>397</v>
      </c>
      <c r="B488" s="420" t="s">
        <v>348</v>
      </c>
      <c r="C488" s="420" t="s">
        <v>38</v>
      </c>
      <c r="D488" s="423">
        <v>57376.9</v>
      </c>
      <c r="E488" s="423">
        <v>52251.88</v>
      </c>
      <c r="F488" s="423">
        <v>573203.39</v>
      </c>
      <c r="G488" s="423">
        <f t="shared" si="136"/>
        <v>682832.17</v>
      </c>
      <c r="H488" s="422">
        <f t="shared" si="137"/>
        <v>2.7121653503718014E-2</v>
      </c>
      <c r="I488" s="423">
        <f t="shared" si="138"/>
        <v>18030.520000000019</v>
      </c>
    </row>
    <row r="489" spans="1:9" x14ac:dyDescent="0.2">
      <c r="A489" s="420" t="s">
        <v>397</v>
      </c>
      <c r="B489" s="420" t="s">
        <v>348</v>
      </c>
      <c r="C489" s="420" t="s">
        <v>39</v>
      </c>
      <c r="D489" s="423">
        <v>21751.52</v>
      </c>
      <c r="E489" s="423">
        <v>28325.75</v>
      </c>
      <c r="F489" s="423">
        <v>82506.91</v>
      </c>
      <c r="G489" s="423">
        <f t="shared" si="136"/>
        <v>132584.18</v>
      </c>
      <c r="H489" s="422">
        <f t="shared" si="137"/>
        <v>-1.4979318148067003E-3</v>
      </c>
      <c r="I489" s="423">
        <f t="shared" si="138"/>
        <v>-198.90000000002328</v>
      </c>
    </row>
    <row r="490" spans="1:9" x14ac:dyDescent="0.2">
      <c r="A490" s="420" t="s">
        <v>397</v>
      </c>
      <c r="B490" s="420" t="s">
        <v>350</v>
      </c>
      <c r="C490" s="420" t="s">
        <v>38</v>
      </c>
      <c r="D490" s="423">
        <v>17098.04</v>
      </c>
      <c r="E490" s="423">
        <v>23824.720000000001</v>
      </c>
      <c r="F490" s="423">
        <v>95090.69</v>
      </c>
      <c r="G490" s="423">
        <f t="shared" si="136"/>
        <v>136013.45000000001</v>
      </c>
      <c r="H490" s="422">
        <f t="shared" si="137"/>
        <v>2.1041356193189493E-2</v>
      </c>
      <c r="I490" s="423">
        <f t="shared" si="138"/>
        <v>2802.929999999993</v>
      </c>
    </row>
    <row r="491" spans="1:9" x14ac:dyDescent="0.2">
      <c r="A491" s="420" t="s">
        <v>397</v>
      </c>
      <c r="B491" s="420" t="s">
        <v>350</v>
      </c>
      <c r="C491" s="420" t="s">
        <v>39</v>
      </c>
      <c r="D491" s="423">
        <v>0</v>
      </c>
      <c r="E491" s="423">
        <v>0</v>
      </c>
      <c r="F491" s="423">
        <v>2518.48</v>
      </c>
      <c r="G491" s="423">
        <f t="shared" si="136"/>
        <v>2518.48</v>
      </c>
      <c r="H491" s="422">
        <f t="shared" si="137"/>
        <v>-0.2796501334309634</v>
      </c>
      <c r="I491" s="423">
        <f t="shared" si="138"/>
        <v>-977.71</v>
      </c>
    </row>
    <row r="492" spans="1:9" x14ac:dyDescent="0.2">
      <c r="G492" s="423">
        <f>SUM(G485:G491)</f>
        <v>1138815.6299999999</v>
      </c>
      <c r="H492" s="422">
        <f t="shared" si="137"/>
        <v>1.9462122408291614E-2</v>
      </c>
      <c r="I492" s="423">
        <f t="shared" si="138"/>
        <v>21740.649999999907</v>
      </c>
    </row>
    <row r="494" spans="1:9" ht="15.75" x14ac:dyDescent="0.25">
      <c r="A494" s="426">
        <v>43312</v>
      </c>
      <c r="B494" s="424" t="s">
        <v>343</v>
      </c>
      <c r="C494" s="424" t="s">
        <v>33</v>
      </c>
      <c r="D494" s="424" t="s">
        <v>34</v>
      </c>
      <c r="E494" s="424" t="s">
        <v>35</v>
      </c>
      <c r="F494" s="424" t="s">
        <v>103</v>
      </c>
      <c r="G494" s="425" t="s">
        <v>9</v>
      </c>
    </row>
    <row r="495" spans="1:9" x14ac:dyDescent="0.2">
      <c r="A495" s="420" t="s">
        <v>400</v>
      </c>
      <c r="B495" s="420" t="s">
        <v>21</v>
      </c>
      <c r="C495" s="420" t="s">
        <v>38</v>
      </c>
      <c r="D495" s="423">
        <f>687430.35-660742.42</f>
        <v>26687.929999999935</v>
      </c>
      <c r="E495" s="423">
        <v>0</v>
      </c>
      <c r="F495" s="423">
        <v>0</v>
      </c>
      <c r="G495" s="423">
        <f t="shared" ref="G495:G501" si="139">SUM(D495:F495)</f>
        <v>26687.929999999935</v>
      </c>
      <c r="H495" s="422">
        <f>IF(G485&gt;0,(G495-G485)/G485,0)</f>
        <v>6.2606387898903435</v>
      </c>
      <c r="I495" s="423">
        <f>G495-G485</f>
        <v>23012.229999999934</v>
      </c>
    </row>
    <row r="496" spans="1:9" x14ac:dyDescent="0.2">
      <c r="A496" s="420" t="s">
        <v>400</v>
      </c>
      <c r="B496" s="420" t="s">
        <v>351</v>
      </c>
      <c r="C496" s="420" t="s">
        <v>38</v>
      </c>
      <c r="D496" s="423">
        <v>0</v>
      </c>
      <c r="E496" s="423">
        <v>0</v>
      </c>
      <c r="F496" s="423">
        <v>0</v>
      </c>
      <c r="G496" s="423">
        <f t="shared" si="139"/>
        <v>0</v>
      </c>
      <c r="H496" s="422">
        <f t="shared" ref="H496:H502" si="140">IF(G486&gt;0,(G496-G486)/G486,0)</f>
        <v>0</v>
      </c>
      <c r="I496" s="423">
        <f t="shared" ref="I496:I502" si="141">G496-G486</f>
        <v>0</v>
      </c>
    </row>
    <row r="497" spans="1:9" x14ac:dyDescent="0.2">
      <c r="A497" s="420" t="s">
        <v>400</v>
      </c>
      <c r="B497" s="420" t="s">
        <v>345</v>
      </c>
      <c r="C497" s="420" t="s">
        <v>38</v>
      </c>
      <c r="D497" s="423">
        <v>14041.18</v>
      </c>
      <c r="E497" s="423">
        <v>7217.38</v>
      </c>
      <c r="F497" s="423">
        <v>166280.04</v>
      </c>
      <c r="G497" s="423">
        <f t="shared" si="139"/>
        <v>187538.6</v>
      </c>
      <c r="H497" s="422">
        <f t="shared" si="140"/>
        <v>3.5028932072752698E-2</v>
      </c>
      <c r="I497" s="423">
        <f t="shared" si="141"/>
        <v>6346.9499999999825</v>
      </c>
    </row>
    <row r="498" spans="1:9" x14ac:dyDescent="0.2">
      <c r="A498" s="420" t="s">
        <v>400</v>
      </c>
      <c r="B498" s="420" t="s">
        <v>348</v>
      </c>
      <c r="C498" s="420" t="s">
        <v>38</v>
      </c>
      <c r="D498" s="423">
        <v>26106.400000000001</v>
      </c>
      <c r="E498" s="423">
        <v>42739.43</v>
      </c>
      <c r="F498" s="423">
        <v>580379.68999999994</v>
      </c>
      <c r="G498" s="423">
        <f t="shared" si="139"/>
        <v>649225.5199999999</v>
      </c>
      <c r="H498" s="422">
        <f t="shared" si="140"/>
        <v>-4.9216559319400749E-2</v>
      </c>
      <c r="I498" s="423">
        <f t="shared" si="141"/>
        <v>-33606.65000000014</v>
      </c>
    </row>
    <row r="499" spans="1:9" x14ac:dyDescent="0.2">
      <c r="A499" s="420" t="s">
        <v>400</v>
      </c>
      <c r="B499" s="420" t="s">
        <v>348</v>
      </c>
      <c r="C499" s="420" t="s">
        <v>39</v>
      </c>
      <c r="D499" s="423">
        <v>12377.15</v>
      </c>
      <c r="E499" s="423">
        <v>16484.650000000001</v>
      </c>
      <c r="F499" s="423">
        <v>90594.43</v>
      </c>
      <c r="G499" s="423">
        <f t="shared" si="139"/>
        <v>119456.23</v>
      </c>
      <c r="H499" s="422">
        <f t="shared" si="140"/>
        <v>-9.9015961029438035E-2</v>
      </c>
      <c r="I499" s="423">
        <f t="shared" si="141"/>
        <v>-13127.949999999997</v>
      </c>
    </row>
    <row r="500" spans="1:9" x14ac:dyDescent="0.2">
      <c r="A500" s="420" t="s">
        <v>400</v>
      </c>
      <c r="B500" s="420" t="s">
        <v>350</v>
      </c>
      <c r="C500" s="420" t="s">
        <v>38</v>
      </c>
      <c r="D500" s="423">
        <v>3400.69</v>
      </c>
      <c r="E500" s="423">
        <v>16702.689999999999</v>
      </c>
      <c r="F500" s="423">
        <v>113405.07</v>
      </c>
      <c r="G500" s="423">
        <f t="shared" si="139"/>
        <v>133508.45000000001</v>
      </c>
      <c r="H500" s="422">
        <f t="shared" si="140"/>
        <v>-1.8417296230630129E-2</v>
      </c>
      <c r="I500" s="423">
        <f t="shared" si="141"/>
        <v>-2505</v>
      </c>
    </row>
    <row r="501" spans="1:9" x14ac:dyDescent="0.2">
      <c r="A501" s="420" t="s">
        <v>400</v>
      </c>
      <c r="B501" s="420" t="s">
        <v>350</v>
      </c>
      <c r="C501" s="420" t="s">
        <v>39</v>
      </c>
      <c r="D501" s="423">
        <v>0</v>
      </c>
      <c r="E501" s="423">
        <v>0</v>
      </c>
      <c r="F501" s="423">
        <v>1523.61</v>
      </c>
      <c r="G501" s="423">
        <f t="shared" si="139"/>
        <v>1523.61</v>
      </c>
      <c r="H501" s="422">
        <f t="shared" si="140"/>
        <v>-0.39502795336869861</v>
      </c>
      <c r="I501" s="423">
        <f t="shared" si="141"/>
        <v>-994.87000000000012</v>
      </c>
    </row>
    <row r="502" spans="1:9" x14ac:dyDescent="0.2">
      <c r="G502" s="423">
        <f>SUM(G495:G501)</f>
        <v>1117940.3399999999</v>
      </c>
      <c r="H502" s="422">
        <f t="shared" si="140"/>
        <v>-1.8330702047003024E-2</v>
      </c>
      <c r="I502" s="423">
        <f t="shared" si="141"/>
        <v>-20875.290000000037</v>
      </c>
    </row>
    <row r="504" spans="1:9" ht="15.75" x14ac:dyDescent="0.25">
      <c r="A504" s="426">
        <v>43343</v>
      </c>
      <c r="B504" s="424" t="s">
        <v>343</v>
      </c>
      <c r="C504" s="424" t="s">
        <v>33</v>
      </c>
      <c r="D504" s="424" t="s">
        <v>34</v>
      </c>
      <c r="E504" s="424" t="s">
        <v>35</v>
      </c>
      <c r="F504" s="424" t="s">
        <v>103</v>
      </c>
      <c r="G504" s="425" t="s">
        <v>9</v>
      </c>
    </row>
    <row r="505" spans="1:9" x14ac:dyDescent="0.2">
      <c r="A505" s="420" t="s">
        <v>400</v>
      </c>
      <c r="B505" s="420" t="s">
        <v>21</v>
      </c>
      <c r="C505" s="420" t="s">
        <v>38</v>
      </c>
      <c r="D505" s="423">
        <v>16073.83</v>
      </c>
      <c r="E505" s="423">
        <v>679580.65</v>
      </c>
      <c r="F505" s="423">
        <v>4.57</v>
      </c>
      <c r="G505" s="423">
        <f t="shared" ref="G505:G511" si="142">SUM(D505:F505)</f>
        <v>695659.04999999993</v>
      </c>
      <c r="H505" s="422">
        <f>IF(G495&gt;0,(G505-G495)/G495,0)</f>
        <v>25.066429655653383</v>
      </c>
      <c r="I505" s="423">
        <f>G505-G495</f>
        <v>668971.12</v>
      </c>
    </row>
    <row r="506" spans="1:9" x14ac:dyDescent="0.2">
      <c r="A506" s="420" t="s">
        <v>400</v>
      </c>
      <c r="B506" s="420" t="s">
        <v>351</v>
      </c>
      <c r="C506" s="420" t="s">
        <v>38</v>
      </c>
      <c r="D506" s="423">
        <v>0</v>
      </c>
      <c r="E506" s="423">
        <v>0</v>
      </c>
      <c r="F506" s="423">
        <v>0</v>
      </c>
      <c r="G506" s="423">
        <f t="shared" si="142"/>
        <v>0</v>
      </c>
      <c r="H506" s="422">
        <f t="shared" ref="H506:H512" si="143">IF(G496&gt;0,(G506-G496)/G496,0)</f>
        <v>0</v>
      </c>
      <c r="I506" s="423">
        <f t="shared" ref="I506:I512" si="144">G506-G496</f>
        <v>0</v>
      </c>
    </row>
    <row r="507" spans="1:9" x14ac:dyDescent="0.2">
      <c r="A507" s="420" t="s">
        <v>400</v>
      </c>
      <c r="B507" s="420" t="s">
        <v>345</v>
      </c>
      <c r="C507" s="420" t="s">
        <v>38</v>
      </c>
      <c r="D507" s="423">
        <v>26631.3</v>
      </c>
      <c r="E507" s="423">
        <v>13942.08</v>
      </c>
      <c r="F507" s="423">
        <v>170421.42</v>
      </c>
      <c r="G507" s="423">
        <f t="shared" si="142"/>
        <v>210994.80000000002</v>
      </c>
      <c r="H507" s="422">
        <f t="shared" si="143"/>
        <v>0.12507398476900228</v>
      </c>
      <c r="I507" s="423">
        <f>G507-G497</f>
        <v>23456.200000000012</v>
      </c>
    </row>
    <row r="508" spans="1:9" x14ac:dyDescent="0.2">
      <c r="A508" s="420" t="s">
        <v>400</v>
      </c>
      <c r="B508" s="420" t="s">
        <v>348</v>
      </c>
      <c r="C508" s="420" t="s">
        <v>38</v>
      </c>
      <c r="D508" s="423">
        <v>64130.22</v>
      </c>
      <c r="E508" s="423">
        <v>24659.7</v>
      </c>
      <c r="F508" s="423">
        <v>583428.87</v>
      </c>
      <c r="G508" s="423">
        <f t="shared" si="142"/>
        <v>672218.79</v>
      </c>
      <c r="H508" s="422">
        <f t="shared" si="143"/>
        <v>3.5416460523609944E-2</v>
      </c>
      <c r="I508" s="423">
        <f t="shared" si="144"/>
        <v>22993.270000000135</v>
      </c>
    </row>
    <row r="509" spans="1:9" x14ac:dyDescent="0.2">
      <c r="A509" s="420" t="s">
        <v>400</v>
      </c>
      <c r="B509" s="420" t="s">
        <v>348</v>
      </c>
      <c r="C509" s="420" t="s">
        <v>39</v>
      </c>
      <c r="D509" s="423">
        <v>30653.16</v>
      </c>
      <c r="E509" s="423">
        <v>15345.15</v>
      </c>
      <c r="F509" s="423">
        <v>82676.61</v>
      </c>
      <c r="G509" s="423">
        <f t="shared" si="142"/>
        <v>128674.92</v>
      </c>
      <c r="H509" s="422">
        <f t="shared" si="143"/>
        <v>7.7172115677851233E-2</v>
      </c>
      <c r="I509" s="423">
        <f t="shared" si="144"/>
        <v>9218.6900000000023</v>
      </c>
    </row>
    <row r="510" spans="1:9" x14ac:dyDescent="0.2">
      <c r="A510" s="420" t="s">
        <v>400</v>
      </c>
      <c r="B510" s="420" t="s">
        <v>350</v>
      </c>
      <c r="C510" s="420" t="s">
        <v>38</v>
      </c>
      <c r="D510" s="423">
        <v>36314.019999999997</v>
      </c>
      <c r="E510" s="423">
        <v>1293.21</v>
      </c>
      <c r="F510" s="423">
        <v>111907.82</v>
      </c>
      <c r="G510" s="423">
        <f t="shared" si="142"/>
        <v>149515.04999999999</v>
      </c>
      <c r="H510" s="422">
        <f t="shared" si="143"/>
        <v>0.11989203679617264</v>
      </c>
      <c r="I510" s="423">
        <f t="shared" si="144"/>
        <v>16006.599999999977</v>
      </c>
    </row>
    <row r="511" spans="1:9" x14ac:dyDescent="0.2">
      <c r="A511" s="420" t="s">
        <v>400</v>
      </c>
      <c r="B511" s="420" t="s">
        <v>350</v>
      </c>
      <c r="C511" s="420" t="s">
        <v>39</v>
      </c>
      <c r="D511" s="423">
        <v>0</v>
      </c>
      <c r="E511" s="423">
        <v>0</v>
      </c>
      <c r="F511" s="423">
        <v>530.24</v>
      </c>
      <c r="G511" s="423">
        <f t="shared" si="142"/>
        <v>530.24</v>
      </c>
      <c r="H511" s="422">
        <f t="shared" si="143"/>
        <v>-0.6519844317115272</v>
      </c>
      <c r="I511" s="423">
        <f t="shared" si="144"/>
        <v>-993.36999999999989</v>
      </c>
    </row>
    <row r="512" spans="1:9" x14ac:dyDescent="0.2">
      <c r="G512" s="423">
        <f>SUM(G505:G511)</f>
        <v>1857592.85</v>
      </c>
      <c r="H512" s="422">
        <f t="shared" si="143"/>
        <v>0.66162073550364986</v>
      </c>
      <c r="I512" s="423">
        <f t="shared" si="144"/>
        <v>739652.51000000024</v>
      </c>
    </row>
    <row r="514" spans="1:9" ht="15.75" x14ac:dyDescent="0.25">
      <c r="A514" s="426">
        <v>43373</v>
      </c>
      <c r="B514" s="424" t="s">
        <v>343</v>
      </c>
      <c r="C514" s="424" t="s">
        <v>33</v>
      </c>
      <c r="D514" s="424" t="s">
        <v>34</v>
      </c>
      <c r="E514" s="424" t="s">
        <v>35</v>
      </c>
      <c r="F514" s="424" t="s">
        <v>103</v>
      </c>
      <c r="G514" s="425" t="s">
        <v>9</v>
      </c>
    </row>
    <row r="515" spans="1:9" x14ac:dyDescent="0.2">
      <c r="A515" s="420" t="s">
        <v>400</v>
      </c>
      <c r="B515" s="420" t="s">
        <v>21</v>
      </c>
      <c r="C515" s="420" t="s">
        <v>38</v>
      </c>
      <c r="D515" s="423">
        <v>705033.93</v>
      </c>
      <c r="E515" s="423">
        <v>16055.2</v>
      </c>
      <c r="F515" s="423">
        <v>660742.42000000004</v>
      </c>
      <c r="G515" s="423">
        <f t="shared" ref="G515:G521" si="145">SUM(D515:F515)</f>
        <v>1381831.55</v>
      </c>
      <c r="H515" s="422">
        <f>IF(G505&gt;0,(G515-G505)/G505,0)</f>
        <v>0.98636321916605585</v>
      </c>
      <c r="I515" s="423">
        <f t="shared" ref="I515:I522" si="146">G515-G505</f>
        <v>686172.50000000012</v>
      </c>
    </row>
    <row r="516" spans="1:9" x14ac:dyDescent="0.2">
      <c r="A516" s="420" t="s">
        <v>400</v>
      </c>
      <c r="B516" s="420" t="s">
        <v>351</v>
      </c>
      <c r="C516" s="420" t="s">
        <v>38</v>
      </c>
      <c r="D516" s="423">
        <v>0</v>
      </c>
      <c r="E516" s="423">
        <v>0</v>
      </c>
      <c r="F516" s="423">
        <v>0</v>
      </c>
      <c r="G516" s="423">
        <f t="shared" si="145"/>
        <v>0</v>
      </c>
      <c r="H516" s="422">
        <f t="shared" ref="H516:H522" si="147">IF(G506&gt;0,(G516-G506)/G506,0)</f>
        <v>0</v>
      </c>
      <c r="I516" s="423">
        <f t="shared" si="146"/>
        <v>0</v>
      </c>
    </row>
    <row r="517" spans="1:9" x14ac:dyDescent="0.2">
      <c r="A517" s="420" t="s">
        <v>400</v>
      </c>
      <c r="B517" s="420" t="s">
        <v>345</v>
      </c>
      <c r="C517" s="420" t="s">
        <v>38</v>
      </c>
      <c r="D517" s="423">
        <v>12632.36</v>
      </c>
      <c r="E517" s="423">
        <v>24965.86</v>
      </c>
      <c r="F517" s="423">
        <v>182106.68</v>
      </c>
      <c r="G517" s="423">
        <f t="shared" si="145"/>
        <v>219704.9</v>
      </c>
      <c r="H517" s="422">
        <f t="shared" si="147"/>
        <v>4.1281112141152182E-2</v>
      </c>
      <c r="I517" s="423">
        <f t="shared" si="146"/>
        <v>8710.0999999999767</v>
      </c>
    </row>
    <row r="518" spans="1:9" x14ac:dyDescent="0.2">
      <c r="A518" s="420" t="s">
        <v>400</v>
      </c>
      <c r="B518" s="420" t="s">
        <v>348</v>
      </c>
      <c r="C518" s="420" t="s">
        <v>38</v>
      </c>
      <c r="D518" s="423">
        <v>48376.04</v>
      </c>
      <c r="E518" s="423">
        <v>52802.62</v>
      </c>
      <c r="F518" s="423">
        <v>584416.96</v>
      </c>
      <c r="G518" s="423">
        <f t="shared" si="145"/>
        <v>685595.62</v>
      </c>
      <c r="H518" s="422">
        <f t="shared" si="147"/>
        <v>1.9899518131589206E-2</v>
      </c>
      <c r="I518" s="423">
        <f t="shared" si="146"/>
        <v>13376.829999999958</v>
      </c>
    </row>
    <row r="519" spans="1:9" x14ac:dyDescent="0.2">
      <c r="A519" s="420" t="s">
        <v>400</v>
      </c>
      <c r="B519" s="420" t="s">
        <v>348</v>
      </c>
      <c r="C519" s="420" t="s">
        <v>39</v>
      </c>
      <c r="D519" s="423">
        <v>14841.59</v>
      </c>
      <c r="E519" s="423">
        <v>25548.6</v>
      </c>
      <c r="F519" s="423">
        <v>83755.179999999993</v>
      </c>
      <c r="G519" s="423">
        <f t="shared" si="145"/>
        <v>124145.37</v>
      </c>
      <c r="H519" s="422">
        <f t="shared" si="147"/>
        <v>-3.5201498473828488E-2</v>
      </c>
      <c r="I519" s="423">
        <f t="shared" si="146"/>
        <v>-4529.5500000000029</v>
      </c>
    </row>
    <row r="520" spans="1:9" x14ac:dyDescent="0.2">
      <c r="A520" s="420" t="s">
        <v>400</v>
      </c>
      <c r="B520" s="420" t="s">
        <v>350</v>
      </c>
      <c r="C520" s="420" t="s">
        <v>38</v>
      </c>
      <c r="D520" s="423">
        <v>4878.71</v>
      </c>
      <c r="E520" s="423">
        <v>30994.25</v>
      </c>
      <c r="F520" s="423">
        <v>104858.59</v>
      </c>
      <c r="G520" s="423">
        <f t="shared" si="145"/>
        <v>140731.54999999999</v>
      </c>
      <c r="H520" s="422">
        <f t="shared" si="147"/>
        <v>-5.8746594406382503E-2</v>
      </c>
      <c r="I520" s="423">
        <f t="shared" si="146"/>
        <v>-8783.5</v>
      </c>
    </row>
    <row r="521" spans="1:9" x14ac:dyDescent="0.2">
      <c r="A521" s="420" t="s">
        <v>400</v>
      </c>
      <c r="B521" s="420" t="s">
        <v>350</v>
      </c>
      <c r="C521" s="420" t="s">
        <v>39</v>
      </c>
      <c r="D521" s="423">
        <v>0</v>
      </c>
      <c r="E521" s="423">
        <v>0</v>
      </c>
      <c r="F521" s="423">
        <v>0</v>
      </c>
      <c r="G521" s="423">
        <f t="shared" si="145"/>
        <v>0</v>
      </c>
      <c r="H521" s="422">
        <f t="shared" si="147"/>
        <v>-1</v>
      </c>
      <c r="I521" s="423">
        <f t="shared" si="146"/>
        <v>-530.24</v>
      </c>
    </row>
    <row r="522" spans="1:9" x14ac:dyDescent="0.2">
      <c r="G522" s="423">
        <f>SUM(G515:G521)</f>
        <v>2552008.9899999998</v>
      </c>
      <c r="H522" s="422">
        <f t="shared" si="147"/>
        <v>0.37382580364690771</v>
      </c>
      <c r="I522" s="423">
        <f t="shared" si="146"/>
        <v>694416.13999999966</v>
      </c>
    </row>
    <row r="524" spans="1:9" ht="15.75" x14ac:dyDescent="0.25">
      <c r="A524" s="426">
        <v>43404</v>
      </c>
      <c r="B524" s="424" t="s">
        <v>343</v>
      </c>
      <c r="C524" s="424" t="s">
        <v>33</v>
      </c>
      <c r="D524" s="424" t="s">
        <v>34</v>
      </c>
      <c r="E524" s="424" t="s">
        <v>35</v>
      </c>
      <c r="F524" s="424" t="s">
        <v>103</v>
      </c>
      <c r="G524" s="425" t="s">
        <v>9</v>
      </c>
    </row>
    <row r="525" spans="1:9" x14ac:dyDescent="0.2">
      <c r="A525" s="420" t="s">
        <v>400</v>
      </c>
      <c r="B525" s="420" t="s">
        <v>21</v>
      </c>
      <c r="C525" s="420" t="s">
        <v>38</v>
      </c>
      <c r="D525" s="423">
        <v>4203.0600000000004</v>
      </c>
      <c r="E525" s="423">
        <v>8216.2199999999993</v>
      </c>
      <c r="F525" s="423">
        <v>672742.42</v>
      </c>
      <c r="G525" s="423">
        <f t="shared" ref="G525:G531" si="148">SUM(D525:F525)</f>
        <v>685161.70000000007</v>
      </c>
      <c r="H525" s="422">
        <f>IF(G515&gt;0,(G525-G515)/G515,0)</f>
        <v>-0.50416409293882458</v>
      </c>
      <c r="I525" s="423">
        <f t="shared" ref="I525:I531" si="149">G525-G515</f>
        <v>-696669.85</v>
      </c>
    </row>
    <row r="526" spans="1:9" x14ac:dyDescent="0.2">
      <c r="A526" s="420" t="s">
        <v>400</v>
      </c>
      <c r="B526" s="420" t="s">
        <v>351</v>
      </c>
      <c r="C526" s="420" t="s">
        <v>38</v>
      </c>
      <c r="D526" s="423">
        <v>0</v>
      </c>
      <c r="E526" s="423">
        <v>0</v>
      </c>
      <c r="F526" s="423">
        <v>0</v>
      </c>
      <c r="G526" s="423">
        <f t="shared" si="148"/>
        <v>0</v>
      </c>
      <c r="H526" s="422">
        <f t="shared" ref="H526:H532" si="150">IF(G516&gt;0,(G526-G516)/G516,0)</f>
        <v>0</v>
      </c>
      <c r="I526" s="423">
        <f t="shared" si="149"/>
        <v>0</v>
      </c>
    </row>
    <row r="527" spans="1:9" x14ac:dyDescent="0.2">
      <c r="A527" s="420" t="s">
        <v>400</v>
      </c>
      <c r="B527" s="420" t="s">
        <v>345</v>
      </c>
      <c r="C527" s="420" t="s">
        <v>38</v>
      </c>
      <c r="D527" s="423">
        <v>9568.2199999999993</v>
      </c>
      <c r="E527" s="423">
        <v>10933.36</v>
      </c>
      <c r="F527" s="423">
        <v>197687.34</v>
      </c>
      <c r="G527" s="423">
        <f t="shared" si="148"/>
        <v>218188.91999999998</v>
      </c>
      <c r="H527" s="422">
        <f t="shared" si="150"/>
        <v>-6.9000736897538951E-3</v>
      </c>
      <c r="I527" s="423">
        <f t="shared" si="149"/>
        <v>-1515.9800000000105</v>
      </c>
    </row>
    <row r="528" spans="1:9" x14ac:dyDescent="0.2">
      <c r="A528" s="420" t="s">
        <v>400</v>
      </c>
      <c r="B528" s="420" t="s">
        <v>348</v>
      </c>
      <c r="C528" s="420" t="s">
        <v>38</v>
      </c>
      <c r="D528" s="423">
        <v>33746.480000000003</v>
      </c>
      <c r="E528" s="423">
        <v>35749.040000000001</v>
      </c>
      <c r="F528" s="423">
        <v>599378.88</v>
      </c>
      <c r="G528" s="423">
        <f t="shared" si="148"/>
        <v>668874.4</v>
      </c>
      <c r="H528" s="422">
        <f t="shared" si="150"/>
        <v>-2.438933317572824E-2</v>
      </c>
      <c r="I528" s="423">
        <f t="shared" si="149"/>
        <v>-16721.219999999972</v>
      </c>
    </row>
    <row r="529" spans="1:9" x14ac:dyDescent="0.2">
      <c r="A529" s="420" t="s">
        <v>400</v>
      </c>
      <c r="B529" s="420" t="s">
        <v>348</v>
      </c>
      <c r="C529" s="420" t="s">
        <v>39</v>
      </c>
      <c r="D529" s="423">
        <v>12673.47</v>
      </c>
      <c r="E529" s="423">
        <v>11055.39</v>
      </c>
      <c r="F529" s="423">
        <v>90302.86</v>
      </c>
      <c r="G529" s="423">
        <f t="shared" si="148"/>
        <v>114031.72</v>
      </c>
      <c r="H529" s="422">
        <f t="shared" si="150"/>
        <v>-8.1466187583153479E-2</v>
      </c>
      <c r="I529" s="423">
        <f t="shared" si="149"/>
        <v>-10113.649999999994</v>
      </c>
    </row>
    <row r="530" spans="1:9" x14ac:dyDescent="0.2">
      <c r="A530" s="420" t="s">
        <v>400</v>
      </c>
      <c r="B530" s="420" t="s">
        <v>350</v>
      </c>
      <c r="C530" s="420" t="s">
        <v>38</v>
      </c>
      <c r="D530" s="423">
        <v>7686.14</v>
      </c>
      <c r="E530" s="423">
        <v>3944.25</v>
      </c>
      <c r="F530" s="423">
        <v>126269.56</v>
      </c>
      <c r="G530" s="423">
        <f t="shared" si="148"/>
        <v>137899.95000000001</v>
      </c>
      <c r="H530" s="422">
        <f t="shared" si="150"/>
        <v>-2.012057708452708E-2</v>
      </c>
      <c r="I530" s="423">
        <f t="shared" si="149"/>
        <v>-2831.5999999999767</v>
      </c>
    </row>
    <row r="531" spans="1:9" x14ac:dyDescent="0.2">
      <c r="A531" s="420" t="s">
        <v>400</v>
      </c>
      <c r="B531" s="420" t="s">
        <v>350</v>
      </c>
      <c r="C531" s="420" t="s">
        <v>39</v>
      </c>
      <c r="D531" s="423">
        <v>0</v>
      </c>
      <c r="E531" s="423">
        <v>0</v>
      </c>
      <c r="F531" s="423">
        <v>0</v>
      </c>
      <c r="G531" s="423">
        <f t="shared" si="148"/>
        <v>0</v>
      </c>
      <c r="H531" s="422">
        <f t="shared" si="150"/>
        <v>0</v>
      </c>
      <c r="I531" s="423">
        <f t="shared" si="149"/>
        <v>0</v>
      </c>
    </row>
    <row r="532" spans="1:9" x14ac:dyDescent="0.2">
      <c r="G532" s="423">
        <f>SUM(G525:G531)</f>
        <v>1824156.69</v>
      </c>
      <c r="H532" s="422">
        <f t="shared" si="150"/>
        <v>-0.28520757679619296</v>
      </c>
      <c r="I532" s="423">
        <f>G532-G522</f>
        <v>-727852.29999999981</v>
      </c>
    </row>
    <row r="534" spans="1:9" ht="15.75" x14ac:dyDescent="0.25">
      <c r="A534" s="426">
        <v>43434</v>
      </c>
      <c r="B534" s="424" t="s">
        <v>343</v>
      </c>
      <c r="C534" s="424" t="s">
        <v>33</v>
      </c>
      <c r="D534" s="424" t="s">
        <v>34</v>
      </c>
      <c r="E534" s="424" t="s">
        <v>35</v>
      </c>
      <c r="F534" s="424" t="s">
        <v>103</v>
      </c>
      <c r="G534" s="425" t="s">
        <v>9</v>
      </c>
    </row>
    <row r="535" spans="1:9" x14ac:dyDescent="0.2">
      <c r="A535" s="420" t="s">
        <v>400</v>
      </c>
      <c r="B535" s="420" t="s">
        <v>21</v>
      </c>
      <c r="C535" s="420" t="s">
        <v>38</v>
      </c>
      <c r="D535" s="423">
        <v>40.86</v>
      </c>
      <c r="E535" s="423">
        <v>4203.0600000000004</v>
      </c>
      <c r="F535" s="423">
        <v>261.08999999999997</v>
      </c>
      <c r="G535" s="423">
        <f t="shared" ref="G535:G541" si="151">SUM(D535:F535)</f>
        <v>4505.01</v>
      </c>
      <c r="H535" s="422">
        <f>IF(G525&gt;0,(G535-G525)/G525,0)</f>
        <v>-0.99342489517438004</v>
      </c>
      <c r="I535" s="423">
        <f t="shared" ref="I535:I541" si="152">G535-G525</f>
        <v>-680656.69000000006</v>
      </c>
    </row>
    <row r="536" spans="1:9" x14ac:dyDescent="0.2">
      <c r="A536" s="420" t="s">
        <v>400</v>
      </c>
      <c r="B536" s="420" t="s">
        <v>351</v>
      </c>
      <c r="C536" s="420" t="s">
        <v>38</v>
      </c>
      <c r="D536" s="423">
        <v>0</v>
      </c>
      <c r="E536" s="423">
        <v>0</v>
      </c>
      <c r="F536" s="423">
        <v>0</v>
      </c>
      <c r="G536" s="423">
        <f t="shared" si="151"/>
        <v>0</v>
      </c>
      <c r="H536" s="422">
        <f t="shared" ref="H536:H542" si="153">IF(G526&gt;0,(G536-G526)/G526,0)</f>
        <v>0</v>
      </c>
      <c r="I536" s="423">
        <f t="shared" si="152"/>
        <v>0</v>
      </c>
    </row>
    <row r="537" spans="1:9" x14ac:dyDescent="0.2">
      <c r="A537" s="420" t="s">
        <v>400</v>
      </c>
      <c r="B537" s="420" t="s">
        <v>345</v>
      </c>
      <c r="C537" s="420" t="s">
        <v>38</v>
      </c>
      <c r="D537" s="423">
        <v>20017.54</v>
      </c>
      <c r="E537" s="423">
        <v>6139.1</v>
      </c>
      <c r="F537" s="423">
        <v>201527.92</v>
      </c>
      <c r="G537" s="423">
        <f t="shared" si="151"/>
        <v>227684.56</v>
      </c>
      <c r="H537" s="422">
        <f t="shared" si="153"/>
        <v>4.3520266748650734E-2</v>
      </c>
      <c r="I537" s="423">
        <f t="shared" si="152"/>
        <v>9495.640000000014</v>
      </c>
    </row>
    <row r="538" spans="1:9" x14ac:dyDescent="0.2">
      <c r="A538" s="420" t="s">
        <v>400</v>
      </c>
      <c r="B538" s="420" t="s">
        <v>348</v>
      </c>
      <c r="C538" s="420" t="s">
        <v>38</v>
      </c>
      <c r="D538" s="423">
        <v>52513.35</v>
      </c>
      <c r="E538" s="423">
        <v>26668.720000000001</v>
      </c>
      <c r="F538" s="423">
        <v>599127.01</v>
      </c>
      <c r="G538" s="423">
        <f t="shared" si="151"/>
        <v>678309.08000000007</v>
      </c>
      <c r="H538" s="422">
        <f t="shared" si="153"/>
        <v>1.4105308859182009E-2</v>
      </c>
      <c r="I538" s="423">
        <f t="shared" si="152"/>
        <v>9434.6800000000512</v>
      </c>
    </row>
    <row r="539" spans="1:9" x14ac:dyDescent="0.2">
      <c r="A539" s="420" t="s">
        <v>400</v>
      </c>
      <c r="B539" s="420" t="s">
        <v>348</v>
      </c>
      <c r="C539" s="420" t="s">
        <v>39</v>
      </c>
      <c r="D539" s="423">
        <v>21479.97</v>
      </c>
      <c r="E539" s="423">
        <v>9687.2099999999991</v>
      </c>
      <c r="F539" s="423">
        <v>75775.69</v>
      </c>
      <c r="G539" s="423">
        <f t="shared" si="151"/>
        <v>106942.87</v>
      </c>
      <c r="H539" s="422">
        <f t="shared" si="153"/>
        <v>-6.2165597432012824E-2</v>
      </c>
      <c r="I539" s="423">
        <f t="shared" si="152"/>
        <v>-7088.8500000000058</v>
      </c>
    </row>
    <row r="540" spans="1:9" x14ac:dyDescent="0.2">
      <c r="A540" s="420" t="s">
        <v>400</v>
      </c>
      <c r="B540" s="420" t="s">
        <v>350</v>
      </c>
      <c r="C540" s="420" t="s">
        <v>38</v>
      </c>
      <c r="D540" s="423">
        <v>36187.79</v>
      </c>
      <c r="E540" s="423">
        <v>5118.2299999999996</v>
      </c>
      <c r="F540" s="423">
        <v>109110.79</v>
      </c>
      <c r="G540" s="423">
        <f t="shared" si="151"/>
        <v>150416.81</v>
      </c>
      <c r="H540" s="422">
        <f t="shared" si="153"/>
        <v>9.0767690633680329E-2</v>
      </c>
      <c r="I540" s="423">
        <f t="shared" si="152"/>
        <v>12516.859999999986</v>
      </c>
    </row>
    <row r="541" spans="1:9" x14ac:dyDescent="0.2">
      <c r="A541" s="420" t="s">
        <v>400</v>
      </c>
      <c r="B541" s="420" t="s">
        <v>350</v>
      </c>
      <c r="C541" s="420" t="s">
        <v>39</v>
      </c>
      <c r="D541" s="423">
        <v>0</v>
      </c>
      <c r="E541" s="423">
        <v>0</v>
      </c>
      <c r="F541" s="423">
        <v>0</v>
      </c>
      <c r="G541" s="423">
        <f t="shared" si="151"/>
        <v>0</v>
      </c>
      <c r="H541" s="422">
        <f t="shared" si="153"/>
        <v>0</v>
      </c>
      <c r="I541" s="423">
        <f t="shared" si="152"/>
        <v>0</v>
      </c>
    </row>
    <row r="542" spans="1:9" x14ac:dyDescent="0.2">
      <c r="G542" s="423">
        <f>SUM(G535:G541)</f>
        <v>1167858.33</v>
      </c>
      <c r="H542" s="422">
        <f t="shared" si="153"/>
        <v>-0.359781790455731</v>
      </c>
      <c r="I542" s="423">
        <f>G542-G532</f>
        <v>-656298.35999999987</v>
      </c>
    </row>
    <row r="544" spans="1:9" ht="15.75" x14ac:dyDescent="0.25">
      <c r="A544" s="426">
        <v>43465</v>
      </c>
      <c r="B544" s="424" t="s">
        <v>343</v>
      </c>
      <c r="C544" s="424" t="s">
        <v>33</v>
      </c>
      <c r="D544" s="424" t="s">
        <v>34</v>
      </c>
      <c r="E544" s="424" t="s">
        <v>35</v>
      </c>
      <c r="F544" s="424" t="s">
        <v>103</v>
      </c>
      <c r="G544" s="425" t="s">
        <v>9</v>
      </c>
    </row>
    <row r="545" spans="1:9" x14ac:dyDescent="0.2">
      <c r="A545" s="420" t="s">
        <v>400</v>
      </c>
      <c r="B545" s="420" t="s">
        <v>21</v>
      </c>
      <c r="C545" s="420" t="s">
        <v>38</v>
      </c>
      <c r="D545" s="423">
        <v>0</v>
      </c>
      <c r="E545" s="423">
        <v>24.89</v>
      </c>
      <c r="F545" s="423">
        <v>4445.22</v>
      </c>
      <c r="G545" s="423">
        <f t="shared" ref="G545:G551" si="154">SUM(D545:F545)</f>
        <v>4470.1100000000006</v>
      </c>
      <c r="H545" s="422">
        <f>IF(G535&gt;0,(G545-G535)/G535,0)</f>
        <v>-7.7469306394435606E-3</v>
      </c>
      <c r="I545" s="423">
        <f>G545-G535</f>
        <v>-34.899999999999636</v>
      </c>
    </row>
    <row r="546" spans="1:9" x14ac:dyDescent="0.2">
      <c r="A546" s="420" t="s">
        <v>400</v>
      </c>
      <c r="B546" s="420" t="s">
        <v>351</v>
      </c>
      <c r="C546" s="420" t="s">
        <v>38</v>
      </c>
      <c r="D546" s="423">
        <v>0</v>
      </c>
      <c r="E546" s="423">
        <v>0</v>
      </c>
      <c r="F546" s="423">
        <v>0</v>
      </c>
      <c r="G546" s="423">
        <f t="shared" si="154"/>
        <v>0</v>
      </c>
      <c r="H546" s="422">
        <f t="shared" ref="H546:H552" si="155">IF(G536&gt;0,(G546-G536)/G536,0)</f>
        <v>0</v>
      </c>
      <c r="I546" s="423">
        <f t="shared" ref="I546:I551" si="156">G546-G536</f>
        <v>0</v>
      </c>
    </row>
    <row r="547" spans="1:9" x14ac:dyDescent="0.2">
      <c r="A547" s="420" t="s">
        <v>400</v>
      </c>
      <c r="B547" s="420" t="s">
        <v>345</v>
      </c>
      <c r="C547" s="420" t="s">
        <v>38</v>
      </c>
      <c r="D547" s="423">
        <v>11465.13</v>
      </c>
      <c r="E547" s="423">
        <v>14340.74</v>
      </c>
      <c r="F547" s="423">
        <v>194884.18</v>
      </c>
      <c r="G547" s="423">
        <f t="shared" si="154"/>
        <v>220690.05</v>
      </c>
      <c r="H547" s="422">
        <f t="shared" si="155"/>
        <v>-3.0720177073052336E-2</v>
      </c>
      <c r="I547" s="423">
        <f t="shared" si="156"/>
        <v>-6994.5100000000093</v>
      </c>
    </row>
    <row r="548" spans="1:9" x14ac:dyDescent="0.2">
      <c r="A548" s="420" t="s">
        <v>400</v>
      </c>
      <c r="B548" s="420" t="s">
        <v>348</v>
      </c>
      <c r="C548" s="420" t="s">
        <v>38</v>
      </c>
      <c r="D548" s="423">
        <v>43507.32</v>
      </c>
      <c r="E548" s="423">
        <v>46533.9</v>
      </c>
      <c r="F548" s="423">
        <v>602104.19999999995</v>
      </c>
      <c r="G548" s="423">
        <f t="shared" si="154"/>
        <v>692145.41999999993</v>
      </c>
      <c r="H548" s="422">
        <f t="shared" si="155"/>
        <v>2.0398282151847132E-2</v>
      </c>
      <c r="I548" s="423">
        <f t="shared" si="156"/>
        <v>13836.339999999851</v>
      </c>
    </row>
    <row r="549" spans="1:9" x14ac:dyDescent="0.2">
      <c r="A549" s="420" t="s">
        <v>400</v>
      </c>
      <c r="B549" s="420" t="s">
        <v>348</v>
      </c>
      <c r="C549" s="420" t="s">
        <v>39</v>
      </c>
      <c r="D549" s="423">
        <v>20334.939999999999</v>
      </c>
      <c r="E549" s="423">
        <v>20845.009999999998</v>
      </c>
      <c r="F549" s="423">
        <v>80379.86</v>
      </c>
      <c r="G549" s="423">
        <f t="shared" si="154"/>
        <v>121559.81</v>
      </c>
      <c r="H549" s="422">
        <f t="shared" si="155"/>
        <v>0.13667989273151171</v>
      </c>
      <c r="I549" s="423">
        <f t="shared" si="156"/>
        <v>14616.940000000002</v>
      </c>
    </row>
    <row r="550" spans="1:9" x14ac:dyDescent="0.2">
      <c r="A550" s="420" t="s">
        <v>400</v>
      </c>
      <c r="B550" s="420" t="s">
        <v>350</v>
      </c>
      <c r="C550" s="420" t="s">
        <v>38</v>
      </c>
      <c r="D550" s="423">
        <v>3255.64</v>
      </c>
      <c r="E550" s="423">
        <v>18588.39</v>
      </c>
      <c r="F550" s="423">
        <v>107949.13</v>
      </c>
      <c r="G550" s="423">
        <f t="shared" si="154"/>
        <v>129793.16</v>
      </c>
      <c r="H550" s="422">
        <f t="shared" si="155"/>
        <v>-0.1371100078508512</v>
      </c>
      <c r="I550" s="423">
        <f t="shared" si="156"/>
        <v>-20623.649999999994</v>
      </c>
    </row>
    <row r="551" spans="1:9" x14ac:dyDescent="0.2">
      <c r="A551" s="420" t="s">
        <v>400</v>
      </c>
      <c r="B551" s="420" t="s">
        <v>350</v>
      </c>
      <c r="C551" s="420" t="s">
        <v>39</v>
      </c>
      <c r="D551" s="423">
        <v>0</v>
      </c>
      <c r="E551" s="423">
        <v>0</v>
      </c>
      <c r="F551" s="423">
        <v>0</v>
      </c>
      <c r="G551" s="423">
        <f t="shared" si="154"/>
        <v>0</v>
      </c>
      <c r="H551" s="422">
        <f t="shared" si="155"/>
        <v>0</v>
      </c>
      <c r="I551" s="423">
        <f t="shared" si="156"/>
        <v>0</v>
      </c>
    </row>
    <row r="552" spans="1:9" x14ac:dyDescent="0.2">
      <c r="G552" s="423">
        <f>SUM(G545:G551)</f>
        <v>1168658.5499999998</v>
      </c>
      <c r="H552" s="422">
        <f t="shared" si="155"/>
        <v>6.852029732062956E-4</v>
      </c>
      <c r="I552" s="423">
        <f>G552-G542</f>
        <v>800.21999999973923</v>
      </c>
    </row>
    <row r="554" spans="1:9" ht="15.75" x14ac:dyDescent="0.25">
      <c r="A554" s="426">
        <v>43496</v>
      </c>
      <c r="B554" s="424" t="s">
        <v>343</v>
      </c>
      <c r="C554" s="424" t="s">
        <v>33</v>
      </c>
      <c r="D554" s="424" t="s">
        <v>34</v>
      </c>
      <c r="E554" s="424" t="s">
        <v>35</v>
      </c>
      <c r="F554" s="424" t="s">
        <v>103</v>
      </c>
      <c r="G554" s="425" t="s">
        <v>9</v>
      </c>
    </row>
    <row r="555" spans="1:9" x14ac:dyDescent="0.2">
      <c r="A555" s="420" t="s">
        <v>400</v>
      </c>
      <c r="B555" s="420" t="s">
        <v>21</v>
      </c>
      <c r="C555" s="420" t="s">
        <v>38</v>
      </c>
      <c r="D555" s="423">
        <v>1972.93</v>
      </c>
      <c r="E555" s="423">
        <v>0</v>
      </c>
      <c r="F555" s="423">
        <v>4445.22</v>
      </c>
      <c r="G555" s="423">
        <f>SUM(D555:F555)</f>
        <v>6418.1500000000005</v>
      </c>
      <c r="H555" s="422">
        <f>IF(G545&gt;0,(G555-G545)/G545,0)</f>
        <v>0.43579240779309675</v>
      </c>
      <c r="I555" s="423">
        <f>G555-G545</f>
        <v>1948.04</v>
      </c>
    </row>
    <row r="556" spans="1:9" x14ac:dyDescent="0.2">
      <c r="A556" s="420" t="s">
        <v>400</v>
      </c>
      <c r="B556" s="420" t="s">
        <v>351</v>
      </c>
      <c r="C556" s="420" t="s">
        <v>38</v>
      </c>
      <c r="D556" s="423">
        <v>0</v>
      </c>
      <c r="E556" s="423">
        <v>0</v>
      </c>
      <c r="F556" s="423">
        <v>0</v>
      </c>
      <c r="G556" s="423">
        <f t="shared" ref="G556:G561" si="157">SUM(D556:F556)</f>
        <v>0</v>
      </c>
      <c r="H556" s="422">
        <f t="shared" ref="H556:H562" si="158">IF(G546&gt;0,(G556-G546)/G546,0)</f>
        <v>0</v>
      </c>
      <c r="I556" s="423">
        <f t="shared" ref="I556:I561" si="159">G556-G546</f>
        <v>0</v>
      </c>
    </row>
    <row r="557" spans="1:9" x14ac:dyDescent="0.2">
      <c r="A557" s="420" t="s">
        <v>400</v>
      </c>
      <c r="B557" s="420" t="s">
        <v>345</v>
      </c>
      <c r="C557" s="420" t="s">
        <v>38</v>
      </c>
      <c r="D557" s="423">
        <v>8435.51</v>
      </c>
      <c r="E557" s="423">
        <v>5721.48</v>
      </c>
      <c r="F557" s="423">
        <v>205507.65</v>
      </c>
      <c r="G557" s="423">
        <f t="shared" si="157"/>
        <v>219664.63999999998</v>
      </c>
      <c r="H557" s="422">
        <f t="shared" si="158"/>
        <v>-4.6463807498344561E-3</v>
      </c>
      <c r="I557" s="423">
        <f t="shared" si="159"/>
        <v>-1025.4100000000035</v>
      </c>
    </row>
    <row r="558" spans="1:9" x14ac:dyDescent="0.2">
      <c r="A558" s="420" t="s">
        <v>400</v>
      </c>
      <c r="B558" s="420" t="s">
        <v>348</v>
      </c>
      <c r="C558" s="420" t="s">
        <v>38</v>
      </c>
      <c r="D558" s="423">
        <v>36649.61</v>
      </c>
      <c r="E558" s="423">
        <v>32068.45</v>
      </c>
      <c r="F558" s="423">
        <v>587685.80000000005</v>
      </c>
      <c r="G558" s="423">
        <f t="shared" si="157"/>
        <v>656403.8600000001</v>
      </c>
      <c r="H558" s="422">
        <f t="shared" si="158"/>
        <v>-5.1638801568606535E-2</v>
      </c>
      <c r="I558" s="423">
        <f t="shared" si="159"/>
        <v>-35741.559999999823</v>
      </c>
    </row>
    <row r="559" spans="1:9" x14ac:dyDescent="0.2">
      <c r="A559" s="420" t="s">
        <v>400</v>
      </c>
      <c r="B559" s="420" t="s">
        <v>348</v>
      </c>
      <c r="C559" s="420" t="s">
        <v>39</v>
      </c>
      <c r="D559" s="423">
        <v>11122.89</v>
      </c>
      <c r="E559" s="423">
        <v>17036.830000000002</v>
      </c>
      <c r="F559" s="423">
        <v>70992.44</v>
      </c>
      <c r="G559" s="423">
        <f t="shared" si="157"/>
        <v>99152.16</v>
      </c>
      <c r="H559" s="422">
        <f t="shared" si="158"/>
        <v>-0.18433436182567245</v>
      </c>
      <c r="I559" s="423">
        <f t="shared" si="159"/>
        <v>-22407.649999999994</v>
      </c>
    </row>
    <row r="560" spans="1:9" x14ac:dyDescent="0.2">
      <c r="A560" s="420" t="s">
        <v>400</v>
      </c>
      <c r="B560" s="420" t="s">
        <v>350</v>
      </c>
      <c r="C560" s="420" t="s">
        <v>38</v>
      </c>
      <c r="D560" s="423">
        <v>5488.99</v>
      </c>
      <c r="E560" s="423">
        <v>1731.71</v>
      </c>
      <c r="F560" s="423">
        <v>117298.24000000001</v>
      </c>
      <c r="G560" s="423">
        <f t="shared" si="157"/>
        <v>124518.94</v>
      </c>
      <c r="H560" s="422">
        <f t="shared" si="158"/>
        <v>-4.0635577406390296E-2</v>
      </c>
      <c r="I560" s="423">
        <f t="shared" si="159"/>
        <v>-5274.2200000000012</v>
      </c>
    </row>
    <row r="561" spans="1:9" x14ac:dyDescent="0.2">
      <c r="A561" s="420" t="s">
        <v>400</v>
      </c>
      <c r="B561" s="420" t="s">
        <v>350</v>
      </c>
      <c r="C561" s="420" t="s">
        <v>39</v>
      </c>
      <c r="D561" s="423">
        <v>0</v>
      </c>
      <c r="E561" s="423">
        <v>0</v>
      </c>
      <c r="F561" s="423">
        <v>0</v>
      </c>
      <c r="G561" s="423">
        <f t="shared" si="157"/>
        <v>0</v>
      </c>
      <c r="H561" s="422">
        <f t="shared" si="158"/>
        <v>0</v>
      </c>
      <c r="I561" s="423">
        <f t="shared" si="159"/>
        <v>0</v>
      </c>
    </row>
    <row r="562" spans="1:9" x14ac:dyDescent="0.2">
      <c r="G562" s="423">
        <f>SUM(G555:G561)</f>
        <v>1106157.7500000002</v>
      </c>
      <c r="H562" s="422">
        <f t="shared" si="158"/>
        <v>-5.3480804979349691E-2</v>
      </c>
      <c r="I562" s="423">
        <f>G562-G552</f>
        <v>-62500.799999999581</v>
      </c>
    </row>
    <row r="564" spans="1:9" ht="15.75" x14ac:dyDescent="0.25">
      <c r="A564" s="426">
        <v>43524</v>
      </c>
      <c r="B564" s="424" t="s">
        <v>343</v>
      </c>
      <c r="C564" s="424" t="s">
        <v>33</v>
      </c>
      <c r="D564" s="424" t="s">
        <v>34</v>
      </c>
      <c r="E564" s="424" t="s">
        <v>35</v>
      </c>
      <c r="F564" s="424" t="s">
        <v>103</v>
      </c>
      <c r="G564" s="425" t="s">
        <v>9</v>
      </c>
    </row>
    <row r="565" spans="1:9" x14ac:dyDescent="0.2">
      <c r="A565" s="420" t="s">
        <v>400</v>
      </c>
      <c r="B565" s="420" t="s">
        <v>21</v>
      </c>
      <c r="C565" s="420" t="s">
        <v>38</v>
      </c>
      <c r="D565" s="423">
        <v>3877.95</v>
      </c>
      <c r="E565" s="423">
        <v>1972.93</v>
      </c>
      <c r="F565" s="423">
        <v>242.16</v>
      </c>
      <c r="G565" s="423">
        <f>SUM(D565:F565)</f>
        <v>6093.04</v>
      </c>
      <c r="H565" s="422">
        <f>IF(G555&gt;0,(G565-G555)/G555,0)</f>
        <v>-5.0654783699352703E-2</v>
      </c>
      <c r="I565" s="423">
        <f>G565-G555</f>
        <v>-325.11000000000058</v>
      </c>
    </row>
    <row r="566" spans="1:9" x14ac:dyDescent="0.2">
      <c r="A566" s="420" t="s">
        <v>400</v>
      </c>
      <c r="B566" s="420" t="s">
        <v>351</v>
      </c>
      <c r="C566" s="420" t="s">
        <v>38</v>
      </c>
      <c r="D566" s="423">
        <v>0</v>
      </c>
      <c r="E566" s="423">
        <v>0</v>
      </c>
      <c r="F566" s="423">
        <v>0</v>
      </c>
      <c r="G566" s="423">
        <f t="shared" ref="G566:G571" si="160">SUM(D566:F566)</f>
        <v>0</v>
      </c>
      <c r="H566" s="422">
        <f t="shared" ref="H566:H572" si="161">IF(G556&gt;0,(G566-G556)/G556,0)</f>
        <v>0</v>
      </c>
      <c r="I566" s="423">
        <f t="shared" ref="I566:I571" si="162">G566-G556</f>
        <v>0</v>
      </c>
    </row>
    <row r="567" spans="1:9" x14ac:dyDescent="0.2">
      <c r="A567" s="420" t="s">
        <v>400</v>
      </c>
      <c r="B567" s="420" t="s">
        <v>345</v>
      </c>
      <c r="C567" s="420" t="s">
        <v>38</v>
      </c>
      <c r="D567" s="423">
        <v>23494.400000000001</v>
      </c>
      <c r="E567" s="423">
        <v>5758</v>
      </c>
      <c r="F567" s="423">
        <v>208884.2</v>
      </c>
      <c r="G567" s="423">
        <f t="shared" si="160"/>
        <v>238136.6</v>
      </c>
      <c r="H567" s="422">
        <f t="shared" si="161"/>
        <v>8.4091640784789132E-2</v>
      </c>
      <c r="I567" s="423">
        <f t="shared" si="162"/>
        <v>18471.960000000021</v>
      </c>
    </row>
    <row r="568" spans="1:9" x14ac:dyDescent="0.2">
      <c r="A568" s="420" t="s">
        <v>400</v>
      </c>
      <c r="B568" s="420" t="s">
        <v>348</v>
      </c>
      <c r="C568" s="420" t="s">
        <v>38</v>
      </c>
      <c r="D568" s="423">
        <v>65234.01</v>
      </c>
      <c r="E568" s="423">
        <v>21518.799999999999</v>
      </c>
      <c r="F568" s="423">
        <v>590917.13</v>
      </c>
      <c r="G568" s="423">
        <f t="shared" si="160"/>
        <v>677669.94</v>
      </c>
      <c r="H568" s="422">
        <f t="shared" si="161"/>
        <v>3.2397859451953614E-2</v>
      </c>
      <c r="I568" s="423">
        <f t="shared" si="162"/>
        <v>21266.079999999842</v>
      </c>
    </row>
    <row r="569" spans="1:9" x14ac:dyDescent="0.2">
      <c r="A569" s="420" t="s">
        <v>400</v>
      </c>
      <c r="B569" s="420" t="s">
        <v>348</v>
      </c>
      <c r="C569" s="420" t="s">
        <v>39</v>
      </c>
      <c r="D569" s="423">
        <v>25744.97</v>
      </c>
      <c r="E569" s="423">
        <v>6462.39</v>
      </c>
      <c r="F569" s="423">
        <v>71879.34</v>
      </c>
      <c r="G569" s="423">
        <f t="shared" si="160"/>
        <v>104086.7</v>
      </c>
      <c r="H569" s="422">
        <f t="shared" si="161"/>
        <v>4.9767347478864743E-2</v>
      </c>
      <c r="I569" s="423">
        <f t="shared" si="162"/>
        <v>4934.5399999999936</v>
      </c>
    </row>
    <row r="570" spans="1:9" x14ac:dyDescent="0.2">
      <c r="A570" s="420" t="s">
        <v>400</v>
      </c>
      <c r="B570" s="420" t="s">
        <v>350</v>
      </c>
      <c r="C570" s="420" t="s">
        <v>38</v>
      </c>
      <c r="D570" s="423">
        <v>33243.379999999997</v>
      </c>
      <c r="E570" s="423">
        <v>4509.0600000000004</v>
      </c>
      <c r="F570" s="423">
        <v>111228.87</v>
      </c>
      <c r="G570" s="423">
        <f t="shared" si="160"/>
        <v>148981.31</v>
      </c>
      <c r="H570" s="422">
        <f t="shared" si="161"/>
        <v>0.19645501318915817</v>
      </c>
      <c r="I570" s="423">
        <f t="shared" si="162"/>
        <v>24462.369999999995</v>
      </c>
    </row>
    <row r="571" spans="1:9" x14ac:dyDescent="0.2">
      <c r="A571" s="420" t="s">
        <v>400</v>
      </c>
      <c r="B571" s="420" t="s">
        <v>350</v>
      </c>
      <c r="C571" s="420" t="s">
        <v>39</v>
      </c>
      <c r="D571" s="423">
        <v>0</v>
      </c>
      <c r="E571" s="423">
        <v>0</v>
      </c>
      <c r="F571" s="423">
        <v>0</v>
      </c>
      <c r="G571" s="423">
        <f t="shared" si="160"/>
        <v>0</v>
      </c>
      <c r="H571" s="422">
        <f t="shared" si="161"/>
        <v>0</v>
      </c>
      <c r="I571" s="423">
        <f t="shared" si="162"/>
        <v>0</v>
      </c>
    </row>
    <row r="572" spans="1:9" x14ac:dyDescent="0.2">
      <c r="G572" s="423">
        <f>SUM(G565:G571)</f>
        <v>1174967.5899999999</v>
      </c>
      <c r="H572" s="422">
        <f t="shared" si="161"/>
        <v>6.2206172672929883E-2</v>
      </c>
      <c r="I572" s="423">
        <f>G572-G562</f>
        <v>68809.839999999618</v>
      </c>
    </row>
    <row r="574" spans="1:9" ht="15.75" x14ac:dyDescent="0.25">
      <c r="A574" s="426">
        <v>43555</v>
      </c>
      <c r="B574" s="424" t="s">
        <v>343</v>
      </c>
      <c r="C574" s="424" t="s">
        <v>33</v>
      </c>
      <c r="D574" s="424" t="s">
        <v>34</v>
      </c>
      <c r="E574" s="424" t="s">
        <v>35</v>
      </c>
      <c r="F574" s="424" t="s">
        <v>103</v>
      </c>
      <c r="G574" s="425" t="s">
        <v>9</v>
      </c>
    </row>
    <row r="575" spans="1:9" x14ac:dyDescent="0.2">
      <c r="A575" s="420" t="s">
        <v>400</v>
      </c>
      <c r="B575" s="420" t="s">
        <v>21</v>
      </c>
      <c r="C575" s="420" t="s">
        <v>38</v>
      </c>
      <c r="D575" s="423">
        <v>1457.21</v>
      </c>
      <c r="E575" s="423">
        <v>3865.95</v>
      </c>
      <c r="F575" s="423">
        <v>2215.09</v>
      </c>
      <c r="G575" s="423">
        <f>SUM(D575:F575)</f>
        <v>7538.25</v>
      </c>
      <c r="H575" s="422">
        <f>IF(G565&gt;0,(G575-G565)/G565,0)</f>
        <v>0.23719030237779501</v>
      </c>
      <c r="I575" s="423">
        <f>G575-G565</f>
        <v>1445.21</v>
      </c>
    </row>
    <row r="576" spans="1:9" x14ac:dyDescent="0.2">
      <c r="A576" s="420" t="s">
        <v>400</v>
      </c>
      <c r="B576" s="420" t="s">
        <v>351</v>
      </c>
      <c r="C576" s="420" t="s">
        <v>38</v>
      </c>
      <c r="D576" s="423">
        <v>32.99</v>
      </c>
      <c r="E576" s="423">
        <v>0</v>
      </c>
      <c r="F576" s="423">
        <v>0</v>
      </c>
      <c r="G576" s="423">
        <f t="shared" ref="G576:G581" si="163">SUM(D576:F576)</f>
        <v>32.99</v>
      </c>
      <c r="H576" s="422">
        <f t="shared" ref="H576:H582" si="164">IF(G566&gt;0,(G576-G566)/G566,0)</f>
        <v>0</v>
      </c>
      <c r="I576" s="423">
        <f t="shared" ref="I576:I581" si="165">G576-G566</f>
        <v>32.99</v>
      </c>
    </row>
    <row r="577" spans="1:9" x14ac:dyDescent="0.2">
      <c r="A577" s="420" t="s">
        <v>400</v>
      </c>
      <c r="B577" s="420" t="s">
        <v>345</v>
      </c>
      <c r="C577" s="420" t="s">
        <v>38</v>
      </c>
      <c r="D577" s="423">
        <v>11029.49</v>
      </c>
      <c r="E577" s="423">
        <v>12018.79</v>
      </c>
      <c r="F577" s="423">
        <v>195771.28</v>
      </c>
      <c r="G577" s="423">
        <f t="shared" si="163"/>
        <v>218819.56</v>
      </c>
      <c r="H577" s="422">
        <f t="shared" si="164"/>
        <v>-8.1117476272022052E-2</v>
      </c>
      <c r="I577" s="423">
        <f t="shared" si="165"/>
        <v>-19317.040000000008</v>
      </c>
    </row>
    <row r="578" spans="1:9" x14ac:dyDescent="0.2">
      <c r="A578" s="420" t="s">
        <v>400</v>
      </c>
      <c r="B578" s="420" t="s">
        <v>348</v>
      </c>
      <c r="C578" s="420" t="s">
        <v>38</v>
      </c>
      <c r="D578" s="423">
        <v>49380.54</v>
      </c>
      <c r="E578" s="423">
        <v>41213.339999999997</v>
      </c>
      <c r="F578" s="423">
        <v>589197.54</v>
      </c>
      <c r="G578" s="423">
        <f t="shared" si="163"/>
        <v>679791.42</v>
      </c>
      <c r="H578" s="422">
        <f t="shared" si="164"/>
        <v>3.1305505450043986E-3</v>
      </c>
      <c r="I578" s="423">
        <f t="shared" si="165"/>
        <v>2121.4800000000978</v>
      </c>
    </row>
    <row r="579" spans="1:9" x14ac:dyDescent="0.2">
      <c r="A579" s="420" t="s">
        <v>400</v>
      </c>
      <c r="B579" s="420" t="s">
        <v>348</v>
      </c>
      <c r="C579" s="420" t="s">
        <v>39</v>
      </c>
      <c r="D579" s="423">
        <v>19016.73</v>
      </c>
      <c r="E579" s="423">
        <v>19035.080000000002</v>
      </c>
      <c r="F579" s="423">
        <v>67906.289999999994</v>
      </c>
      <c r="G579" s="423">
        <f t="shared" si="163"/>
        <v>105958.09999999999</v>
      </c>
      <c r="H579" s="422">
        <f t="shared" si="164"/>
        <v>1.797924230473244E-2</v>
      </c>
      <c r="I579" s="423">
        <f t="shared" si="165"/>
        <v>1871.3999999999942</v>
      </c>
    </row>
    <row r="580" spans="1:9" x14ac:dyDescent="0.2">
      <c r="A580" s="420" t="s">
        <v>400</v>
      </c>
      <c r="B580" s="420" t="s">
        <v>350</v>
      </c>
      <c r="C580" s="420" t="s">
        <v>38</v>
      </c>
      <c r="D580" s="423">
        <v>3493.33</v>
      </c>
      <c r="E580" s="423">
        <v>29783.23</v>
      </c>
      <c r="F580" s="423">
        <v>107848.1</v>
      </c>
      <c r="G580" s="423">
        <f t="shared" si="163"/>
        <v>141124.66</v>
      </c>
      <c r="H580" s="422">
        <f t="shared" si="164"/>
        <v>-5.2735809612628554E-2</v>
      </c>
      <c r="I580" s="423">
        <f t="shared" si="165"/>
        <v>-7856.6499999999942</v>
      </c>
    </row>
    <row r="581" spans="1:9" x14ac:dyDescent="0.2">
      <c r="A581" s="420" t="s">
        <v>400</v>
      </c>
      <c r="B581" s="420" t="s">
        <v>350</v>
      </c>
      <c r="C581" s="420" t="s">
        <v>39</v>
      </c>
      <c r="D581" s="423">
        <v>0</v>
      </c>
      <c r="E581" s="423">
        <v>0</v>
      </c>
      <c r="F581" s="423">
        <v>0</v>
      </c>
      <c r="G581" s="423">
        <f t="shared" si="163"/>
        <v>0</v>
      </c>
      <c r="H581" s="422">
        <f t="shared" si="164"/>
        <v>0</v>
      </c>
      <c r="I581" s="423">
        <f t="shared" si="165"/>
        <v>0</v>
      </c>
    </row>
    <row r="582" spans="1:9" x14ac:dyDescent="0.2">
      <c r="G582" s="423">
        <f>SUM(G575:G581)</f>
        <v>1153264.98</v>
      </c>
      <c r="H582" s="422">
        <f t="shared" si="164"/>
        <v>-1.8470815863099569E-2</v>
      </c>
      <c r="I582" s="423">
        <f>G582-G572</f>
        <v>-21702.60999999987</v>
      </c>
    </row>
    <row r="584" spans="1:9" ht="15.75" x14ac:dyDescent="0.25">
      <c r="A584" s="426">
        <v>43585</v>
      </c>
      <c r="B584" s="424" t="s">
        <v>343</v>
      </c>
      <c r="C584" s="424" t="s">
        <v>33</v>
      </c>
      <c r="D584" s="424" t="s">
        <v>34</v>
      </c>
      <c r="E584" s="424" t="s">
        <v>35</v>
      </c>
      <c r="F584" s="424" t="s">
        <v>103</v>
      </c>
      <c r="G584" s="425" t="s">
        <v>9</v>
      </c>
    </row>
    <row r="585" spans="1:9" x14ac:dyDescent="0.2">
      <c r="A585" s="420" t="s">
        <v>400</v>
      </c>
      <c r="B585" s="420" t="s">
        <v>21</v>
      </c>
      <c r="C585" s="420" t="s">
        <v>38</v>
      </c>
      <c r="D585" s="423">
        <v>282.95</v>
      </c>
      <c r="E585" s="423">
        <v>0</v>
      </c>
      <c r="F585" s="423">
        <v>3870.88</v>
      </c>
      <c r="G585" s="423">
        <f>SUM(D585:F585)</f>
        <v>4153.83</v>
      </c>
      <c r="H585" s="422">
        <f>IF(G575&gt;0,(G585-G575)/G575,0)</f>
        <v>-0.44896627201273503</v>
      </c>
      <c r="I585" s="423">
        <f>G585-G575</f>
        <v>-3384.42</v>
      </c>
    </row>
    <row r="586" spans="1:9" x14ac:dyDescent="0.2">
      <c r="A586" s="420" t="s">
        <v>400</v>
      </c>
      <c r="B586" s="420" t="s">
        <v>351</v>
      </c>
      <c r="C586" s="420" t="s">
        <v>38</v>
      </c>
      <c r="D586" s="423">
        <v>0</v>
      </c>
      <c r="E586" s="423">
        <v>0</v>
      </c>
      <c r="F586" s="423">
        <v>0</v>
      </c>
      <c r="G586" s="423">
        <f t="shared" ref="G586:G591" si="166">SUM(D586:F586)</f>
        <v>0</v>
      </c>
      <c r="H586" s="422">
        <f t="shared" ref="H586:H592" si="167">IF(G576&gt;0,(G586-G576)/G576,0)</f>
        <v>-1</v>
      </c>
      <c r="I586" s="423">
        <f t="shared" ref="I586:I591" si="168">G586-G576</f>
        <v>-32.99</v>
      </c>
    </row>
    <row r="587" spans="1:9" x14ac:dyDescent="0.2">
      <c r="A587" s="420" t="s">
        <v>400</v>
      </c>
      <c r="B587" s="420" t="s">
        <v>345</v>
      </c>
      <c r="C587" s="420" t="s">
        <v>38</v>
      </c>
      <c r="D587" s="423">
        <v>2636.51</v>
      </c>
      <c r="E587" s="423">
        <v>4642.8599999999997</v>
      </c>
      <c r="F587" s="423">
        <v>167762.37</v>
      </c>
      <c r="G587" s="423">
        <f t="shared" si="166"/>
        <v>175041.74</v>
      </c>
      <c r="H587" s="422">
        <f t="shared" si="167"/>
        <v>-0.20006355921746669</v>
      </c>
      <c r="I587" s="423">
        <f t="shared" si="168"/>
        <v>-43777.820000000007</v>
      </c>
    </row>
    <row r="588" spans="1:9" x14ac:dyDescent="0.2">
      <c r="A588" s="420" t="s">
        <v>400</v>
      </c>
      <c r="B588" s="420" t="s">
        <v>348</v>
      </c>
      <c r="C588" s="420" t="s">
        <v>38</v>
      </c>
      <c r="D588" s="423">
        <v>27113.68</v>
      </c>
      <c r="E588" s="423">
        <v>37131.49</v>
      </c>
      <c r="F588" s="423">
        <v>588178.23</v>
      </c>
      <c r="G588" s="423">
        <f t="shared" si="166"/>
        <v>652423.4</v>
      </c>
      <c r="H588" s="422">
        <f t="shared" si="167"/>
        <v>-4.0259437225612552E-2</v>
      </c>
      <c r="I588" s="423">
        <f t="shared" si="168"/>
        <v>-27368.020000000019</v>
      </c>
    </row>
    <row r="589" spans="1:9" x14ac:dyDescent="0.2">
      <c r="A589" s="420" t="s">
        <v>400</v>
      </c>
      <c r="B589" s="420" t="s">
        <v>348</v>
      </c>
      <c r="C589" s="420" t="s">
        <v>39</v>
      </c>
      <c r="D589" s="423">
        <v>8588.7000000000007</v>
      </c>
      <c r="E589" s="423">
        <v>13757.67</v>
      </c>
      <c r="F589" s="423">
        <v>65476.58</v>
      </c>
      <c r="G589" s="423">
        <f t="shared" si="166"/>
        <v>87822.950000000012</v>
      </c>
      <c r="H589" s="422">
        <f t="shared" si="167"/>
        <v>-0.17115397501465185</v>
      </c>
      <c r="I589" s="423">
        <f t="shared" si="168"/>
        <v>-18135.14999999998</v>
      </c>
    </row>
    <row r="590" spans="1:9" x14ac:dyDescent="0.2">
      <c r="A590" s="420" t="s">
        <v>400</v>
      </c>
      <c r="B590" s="420" t="s">
        <v>350</v>
      </c>
      <c r="C590" s="420" t="s">
        <v>38</v>
      </c>
      <c r="D590" s="423">
        <v>2171.5500000000002</v>
      </c>
      <c r="E590" s="423">
        <v>3135.49</v>
      </c>
      <c r="F590" s="423">
        <v>130303.11</v>
      </c>
      <c r="G590" s="423">
        <f t="shared" si="166"/>
        <v>135610.15</v>
      </c>
      <c r="H590" s="422">
        <f t="shared" si="167"/>
        <v>-3.9075452865572957E-2</v>
      </c>
      <c r="I590" s="423">
        <f t="shared" si="168"/>
        <v>-5514.5100000000093</v>
      </c>
    </row>
    <row r="591" spans="1:9" x14ac:dyDescent="0.2">
      <c r="A591" s="420" t="s">
        <v>400</v>
      </c>
      <c r="B591" s="420" t="s">
        <v>350</v>
      </c>
      <c r="C591" s="420" t="s">
        <v>39</v>
      </c>
      <c r="D591" s="423">
        <v>0</v>
      </c>
      <c r="E591" s="423">
        <v>0</v>
      </c>
      <c r="F591" s="423">
        <v>0</v>
      </c>
      <c r="G591" s="423">
        <f t="shared" si="166"/>
        <v>0</v>
      </c>
      <c r="H591" s="422">
        <f t="shared" si="167"/>
        <v>0</v>
      </c>
      <c r="I591" s="423">
        <f t="shared" si="168"/>
        <v>0</v>
      </c>
    </row>
    <row r="592" spans="1:9" x14ac:dyDescent="0.2">
      <c r="G592" s="423">
        <f>SUM(G585:G591)</f>
        <v>1055052.0699999998</v>
      </c>
      <c r="H592" s="422">
        <f t="shared" si="167"/>
        <v>-8.5160749440254535E-2</v>
      </c>
      <c r="I592" s="423">
        <f>G592-G582</f>
        <v>-98212.910000000149</v>
      </c>
    </row>
    <row r="594" spans="1:9" ht="15.75" x14ac:dyDescent="0.25">
      <c r="A594" s="426">
        <v>43616</v>
      </c>
      <c r="B594" s="424" t="s">
        <v>343</v>
      </c>
      <c r="C594" s="424" t="s">
        <v>33</v>
      </c>
      <c r="D594" s="424" t="s">
        <v>34</v>
      </c>
      <c r="E594" s="424" t="s">
        <v>35</v>
      </c>
      <c r="F594" s="424" t="s">
        <v>103</v>
      </c>
      <c r="G594" s="425" t="s">
        <v>9</v>
      </c>
    </row>
    <row r="595" spans="1:9" x14ac:dyDescent="0.2">
      <c r="A595" s="420" t="s">
        <v>400</v>
      </c>
      <c r="B595" s="420" t="s">
        <v>21</v>
      </c>
      <c r="C595" s="420" t="s">
        <v>38</v>
      </c>
      <c r="D595" s="423">
        <v>7176.06</v>
      </c>
      <c r="E595" s="423">
        <v>0</v>
      </c>
      <c r="F595" s="423">
        <v>3.93</v>
      </c>
      <c r="G595" s="423">
        <f>SUM(D595:F595)</f>
        <v>7179.9900000000007</v>
      </c>
      <c r="H595" s="422">
        <f>IF(G585&gt;0,(G595-G585)/G585,0)</f>
        <v>0.72852283314435129</v>
      </c>
      <c r="I595" s="423">
        <f>G595-G585</f>
        <v>3026.1600000000008</v>
      </c>
    </row>
    <row r="596" spans="1:9" x14ac:dyDescent="0.2">
      <c r="A596" s="420" t="s">
        <v>400</v>
      </c>
      <c r="B596" s="420" t="s">
        <v>351</v>
      </c>
      <c r="C596" s="420" t="s">
        <v>38</v>
      </c>
      <c r="D596" s="423">
        <v>0</v>
      </c>
      <c r="E596" s="423">
        <v>0</v>
      </c>
      <c r="F596" s="423">
        <v>0</v>
      </c>
      <c r="G596" s="423">
        <f t="shared" ref="G596:G601" si="169">SUM(D596:F596)</f>
        <v>0</v>
      </c>
      <c r="H596" s="422">
        <f t="shared" ref="H596:H602" si="170">IF(G586&gt;0,(G596-G586)/G586,0)</f>
        <v>0</v>
      </c>
      <c r="I596" s="423">
        <f t="shared" ref="I596:I601" si="171">G596-G586</f>
        <v>0</v>
      </c>
    </row>
    <row r="597" spans="1:9" x14ac:dyDescent="0.2">
      <c r="A597" s="420" t="s">
        <v>400</v>
      </c>
      <c r="B597" s="420" t="s">
        <v>345</v>
      </c>
      <c r="C597" s="420" t="s">
        <v>38</v>
      </c>
      <c r="D597" s="423">
        <v>41259.11</v>
      </c>
      <c r="E597" s="423">
        <v>1106.74</v>
      </c>
      <c r="F597" s="423">
        <v>168415.5</v>
      </c>
      <c r="G597" s="423">
        <f t="shared" si="169"/>
        <v>210781.35</v>
      </c>
      <c r="H597" s="422">
        <f t="shared" si="170"/>
        <v>0.20417764357232748</v>
      </c>
      <c r="I597" s="423">
        <f t="shared" si="171"/>
        <v>35739.610000000015</v>
      </c>
    </row>
    <row r="598" spans="1:9" x14ac:dyDescent="0.2">
      <c r="A598" s="420" t="s">
        <v>400</v>
      </c>
      <c r="B598" s="420" t="s">
        <v>348</v>
      </c>
      <c r="C598" s="420" t="s">
        <v>38</v>
      </c>
      <c r="D598" s="423">
        <v>56629.95</v>
      </c>
      <c r="E598" s="423">
        <v>23773.040000000001</v>
      </c>
      <c r="F598" s="423">
        <v>577807</v>
      </c>
      <c r="G598" s="423">
        <f t="shared" si="169"/>
        <v>658209.99</v>
      </c>
      <c r="H598" s="422">
        <f t="shared" si="170"/>
        <v>8.8693783821977672E-3</v>
      </c>
      <c r="I598" s="423">
        <f t="shared" si="171"/>
        <v>5786.5899999999674</v>
      </c>
    </row>
    <row r="599" spans="1:9" x14ac:dyDescent="0.2">
      <c r="A599" s="420" t="s">
        <v>400</v>
      </c>
      <c r="B599" s="420" t="s">
        <v>348</v>
      </c>
      <c r="C599" s="420" t="s">
        <v>39</v>
      </c>
      <c r="D599" s="423">
        <v>25387.5</v>
      </c>
      <c r="E599" s="423">
        <v>7990.89</v>
      </c>
      <c r="F599" s="423">
        <v>68890.649999999994</v>
      </c>
      <c r="G599" s="423">
        <f t="shared" si="169"/>
        <v>102269.04</v>
      </c>
      <c r="H599" s="422">
        <f t="shared" si="170"/>
        <v>0.16449105843062639</v>
      </c>
      <c r="I599" s="423">
        <f t="shared" si="171"/>
        <v>14446.089999999982</v>
      </c>
    </row>
    <row r="600" spans="1:9" x14ac:dyDescent="0.2">
      <c r="A600" s="420" t="s">
        <v>400</v>
      </c>
      <c r="B600" s="420" t="s">
        <v>350</v>
      </c>
      <c r="C600" s="420" t="s">
        <v>38</v>
      </c>
      <c r="D600" s="423">
        <v>39739.17</v>
      </c>
      <c r="E600" s="423">
        <v>178.05</v>
      </c>
      <c r="F600" s="423">
        <v>126751.55</v>
      </c>
      <c r="G600" s="423">
        <f t="shared" si="169"/>
        <v>166668.77000000002</v>
      </c>
      <c r="H600" s="422">
        <f t="shared" si="170"/>
        <v>0.22902872683202566</v>
      </c>
      <c r="I600" s="423">
        <f t="shared" si="171"/>
        <v>31058.620000000024</v>
      </c>
    </row>
    <row r="601" spans="1:9" x14ac:dyDescent="0.2">
      <c r="A601" s="420" t="s">
        <v>400</v>
      </c>
      <c r="B601" s="420" t="s">
        <v>350</v>
      </c>
      <c r="C601" s="420" t="s">
        <v>39</v>
      </c>
      <c r="D601" s="423">
        <v>0</v>
      </c>
      <c r="E601" s="423">
        <v>0</v>
      </c>
      <c r="F601" s="423">
        <v>0</v>
      </c>
      <c r="G601" s="423">
        <f t="shared" si="169"/>
        <v>0</v>
      </c>
      <c r="H601" s="422">
        <f t="shared" si="170"/>
        <v>0</v>
      </c>
      <c r="I601" s="423">
        <f t="shared" si="171"/>
        <v>0</v>
      </c>
    </row>
    <row r="602" spans="1:9" x14ac:dyDescent="0.2">
      <c r="G602" s="423">
        <f>SUM(G595:G601)</f>
        <v>1145109.1400000001</v>
      </c>
      <c r="H602" s="422">
        <f t="shared" si="170"/>
        <v>8.5357938779268325E-2</v>
      </c>
      <c r="I602" s="423">
        <f>G602-G592</f>
        <v>90057.070000000298</v>
      </c>
    </row>
    <row r="604" spans="1:9" ht="15.75" x14ac:dyDescent="0.25">
      <c r="A604" s="426">
        <v>43646</v>
      </c>
      <c r="B604" s="424" t="s">
        <v>343</v>
      </c>
      <c r="C604" s="424" t="s">
        <v>33</v>
      </c>
      <c r="D604" s="424" t="s">
        <v>34</v>
      </c>
      <c r="E604" s="424" t="s">
        <v>35</v>
      </c>
      <c r="F604" s="424" t="s">
        <v>103</v>
      </c>
      <c r="G604" s="425" t="s">
        <v>9</v>
      </c>
    </row>
    <row r="605" spans="1:9" x14ac:dyDescent="0.2">
      <c r="A605" s="420" t="s">
        <v>400</v>
      </c>
      <c r="B605" s="420" t="s">
        <v>21</v>
      </c>
      <c r="C605" s="420" t="s">
        <v>38</v>
      </c>
      <c r="D605" s="423">
        <v>13066.53</v>
      </c>
      <c r="E605" s="423">
        <v>18.739999999999998</v>
      </c>
      <c r="F605" s="423">
        <v>3.93</v>
      </c>
      <c r="G605" s="423">
        <f>SUM(D605:F605)</f>
        <v>13089.2</v>
      </c>
      <c r="H605" s="422">
        <f>IF(G595&gt;0,(G605-G595)/G595,0)</f>
        <v>0.82301089555835028</v>
      </c>
      <c r="I605" s="423">
        <f>G605-G595</f>
        <v>5909.21</v>
      </c>
    </row>
    <row r="606" spans="1:9" x14ac:dyDescent="0.2">
      <c r="A606" s="420" t="s">
        <v>400</v>
      </c>
      <c r="B606" s="420" t="s">
        <v>351</v>
      </c>
      <c r="C606" s="420" t="s">
        <v>38</v>
      </c>
      <c r="D606" s="423">
        <v>0</v>
      </c>
      <c r="E606" s="423">
        <v>0</v>
      </c>
      <c r="F606" s="423">
        <v>0</v>
      </c>
      <c r="G606" s="423">
        <f t="shared" ref="G606:G611" si="172">SUM(D606:F606)</f>
        <v>0</v>
      </c>
      <c r="H606" s="422">
        <f t="shared" ref="H606:H612" si="173">IF(G596&gt;0,(G606-G596)/G596,0)</f>
        <v>0</v>
      </c>
      <c r="I606" s="423">
        <f t="shared" ref="I606:I611" si="174">G606-G596</f>
        <v>0</v>
      </c>
    </row>
    <row r="607" spans="1:9" x14ac:dyDescent="0.2">
      <c r="A607" s="420" t="s">
        <v>400</v>
      </c>
      <c r="B607" s="420" t="s">
        <v>345</v>
      </c>
      <c r="C607" s="420" t="s">
        <v>38</v>
      </c>
      <c r="D607" s="423">
        <v>11819.12</v>
      </c>
      <c r="E607" s="423">
        <v>37936.06</v>
      </c>
      <c r="F607" s="423">
        <v>166341.06</v>
      </c>
      <c r="G607" s="423">
        <f t="shared" si="172"/>
        <v>216096.24</v>
      </c>
      <c r="H607" s="422">
        <f t="shared" si="173"/>
        <v>2.5215181513924191E-2</v>
      </c>
      <c r="I607" s="423">
        <f t="shared" si="174"/>
        <v>5314.8899999999849</v>
      </c>
    </row>
    <row r="608" spans="1:9" x14ac:dyDescent="0.2">
      <c r="A608" s="420" t="s">
        <v>400</v>
      </c>
      <c r="B608" s="420" t="s">
        <v>348</v>
      </c>
      <c r="C608" s="420" t="s">
        <v>38</v>
      </c>
      <c r="D608" s="423">
        <v>55050.86</v>
      </c>
      <c r="E608" s="423">
        <v>41123</v>
      </c>
      <c r="F608" s="423">
        <v>572883.55000000005</v>
      </c>
      <c r="G608" s="423">
        <f t="shared" si="172"/>
        <v>669057.41</v>
      </c>
      <c r="H608" s="422">
        <f t="shared" si="173"/>
        <v>1.6480181347597052E-2</v>
      </c>
      <c r="I608" s="423">
        <f t="shared" si="174"/>
        <v>10847.420000000042</v>
      </c>
    </row>
    <row r="609" spans="1:9" x14ac:dyDescent="0.2">
      <c r="A609" s="420" t="s">
        <v>400</v>
      </c>
      <c r="B609" s="420" t="s">
        <v>348</v>
      </c>
      <c r="C609" s="420" t="s">
        <v>39</v>
      </c>
      <c r="D609" s="423">
        <v>21864.91</v>
      </c>
      <c r="E609" s="423">
        <v>21125.62</v>
      </c>
      <c r="F609" s="423">
        <v>66730.490000000005</v>
      </c>
      <c r="G609" s="423">
        <f t="shared" si="172"/>
        <v>109721.02</v>
      </c>
      <c r="H609" s="422">
        <f t="shared" si="173"/>
        <v>7.2866431522189037E-2</v>
      </c>
      <c r="I609" s="423">
        <f t="shared" si="174"/>
        <v>7451.9800000000105</v>
      </c>
    </row>
    <row r="610" spans="1:9" x14ac:dyDescent="0.2">
      <c r="A610" s="420" t="s">
        <v>400</v>
      </c>
      <c r="B610" s="420" t="s">
        <v>350</v>
      </c>
      <c r="C610" s="420" t="s">
        <v>38</v>
      </c>
      <c r="D610" s="423">
        <v>3497.2</v>
      </c>
      <c r="E610" s="423">
        <v>34037.61</v>
      </c>
      <c r="F610" s="423">
        <v>124125.05</v>
      </c>
      <c r="G610" s="423">
        <f t="shared" si="172"/>
        <v>161659.85999999999</v>
      </c>
      <c r="H610" s="422">
        <f t="shared" si="173"/>
        <v>-3.0053080730121379E-2</v>
      </c>
      <c r="I610" s="423">
        <f t="shared" si="174"/>
        <v>-5008.9100000000326</v>
      </c>
    </row>
    <row r="611" spans="1:9" x14ac:dyDescent="0.2">
      <c r="A611" s="420" t="s">
        <v>400</v>
      </c>
      <c r="B611" s="420" t="s">
        <v>350</v>
      </c>
      <c r="C611" s="420" t="s">
        <v>39</v>
      </c>
      <c r="D611" s="423">
        <v>0</v>
      </c>
      <c r="E611" s="423">
        <v>0</v>
      </c>
      <c r="F611" s="423">
        <v>0</v>
      </c>
      <c r="G611" s="423">
        <f t="shared" si="172"/>
        <v>0</v>
      </c>
      <c r="H611" s="422">
        <f t="shared" si="173"/>
        <v>0</v>
      </c>
      <c r="I611" s="423">
        <f t="shared" si="174"/>
        <v>0</v>
      </c>
    </row>
    <row r="612" spans="1:9" x14ac:dyDescent="0.2">
      <c r="G612" s="423">
        <f>SUM(G605:G611)</f>
        <v>1169623.73</v>
      </c>
      <c r="H612" s="422">
        <f t="shared" si="173"/>
        <v>2.1408081678572444E-2</v>
      </c>
      <c r="I612" s="423">
        <f>G612-G602</f>
        <v>24514.589999999851</v>
      </c>
    </row>
    <row r="614" spans="1:9" ht="15.75" x14ac:dyDescent="0.25">
      <c r="A614" s="426">
        <v>43677</v>
      </c>
      <c r="B614" s="424" t="s">
        <v>343</v>
      </c>
      <c r="C614" s="424" t="s">
        <v>33</v>
      </c>
      <c r="D614" s="424" t="s">
        <v>34</v>
      </c>
      <c r="E614" s="424" t="s">
        <v>35</v>
      </c>
      <c r="F614" s="424" t="s">
        <v>103</v>
      </c>
      <c r="G614" s="425" t="s">
        <v>9</v>
      </c>
    </row>
    <row r="615" spans="1:9" x14ac:dyDescent="0.2">
      <c r="A615" s="420" t="s">
        <v>409</v>
      </c>
      <c r="B615" s="420" t="s">
        <v>21</v>
      </c>
      <c r="C615" s="420" t="s">
        <v>38</v>
      </c>
      <c r="D615" s="423">
        <v>10784.65</v>
      </c>
      <c r="E615" s="423">
        <v>1045.6099999999999</v>
      </c>
      <c r="F615" s="423">
        <v>3.96</v>
      </c>
      <c r="G615" s="423">
        <f>SUM(D615:F615)</f>
        <v>11834.22</v>
      </c>
      <c r="H615" s="422">
        <f>IF(G605&gt;0,(G615-G605)/G605,0)</f>
        <v>-9.5879045319805747E-2</v>
      </c>
      <c r="I615" s="423">
        <f>G615-G605</f>
        <v>-1254.9800000000014</v>
      </c>
    </row>
    <row r="616" spans="1:9" x14ac:dyDescent="0.2">
      <c r="A616" s="420" t="s">
        <v>409</v>
      </c>
      <c r="B616" s="420" t="s">
        <v>351</v>
      </c>
      <c r="C616" s="420" t="s">
        <v>38</v>
      </c>
      <c r="D616" s="423">
        <v>0</v>
      </c>
      <c r="E616" s="423">
        <v>0</v>
      </c>
      <c r="F616" s="423">
        <v>0</v>
      </c>
      <c r="G616" s="423">
        <f t="shared" ref="G616:G621" si="175">SUM(D616:F616)</f>
        <v>0</v>
      </c>
      <c r="H616" s="422">
        <f t="shared" ref="H616:H622" si="176">IF(G606&gt;0,(G616-G606)/G606,0)</f>
        <v>0</v>
      </c>
      <c r="I616" s="423">
        <f t="shared" ref="I616:I621" si="177">G616-G606</f>
        <v>0</v>
      </c>
    </row>
    <row r="617" spans="1:9" x14ac:dyDescent="0.2">
      <c r="A617" s="420" t="s">
        <v>409</v>
      </c>
      <c r="B617" s="420" t="s">
        <v>345</v>
      </c>
      <c r="C617" s="420" t="s">
        <v>38</v>
      </c>
      <c r="D617" s="423">
        <v>11659.67</v>
      </c>
      <c r="E617" s="423">
        <v>3298.59</v>
      </c>
      <c r="F617" s="423">
        <v>197147.31</v>
      </c>
      <c r="G617" s="423">
        <f t="shared" si="175"/>
        <v>212105.57</v>
      </c>
      <c r="H617" s="422">
        <f t="shared" si="176"/>
        <v>-1.8467095956875436E-2</v>
      </c>
      <c r="I617" s="423">
        <f t="shared" si="177"/>
        <v>-3990.6699999999837</v>
      </c>
    </row>
    <row r="618" spans="1:9" x14ac:dyDescent="0.2">
      <c r="A618" s="420" t="s">
        <v>409</v>
      </c>
      <c r="B618" s="420" t="s">
        <v>348</v>
      </c>
      <c r="C618" s="420" t="s">
        <v>38</v>
      </c>
      <c r="D618" s="423">
        <v>32664.35</v>
      </c>
      <c r="E618" s="423">
        <v>39138.629999999997</v>
      </c>
      <c r="F618" s="423">
        <v>585446.63</v>
      </c>
      <c r="G618" s="423">
        <f t="shared" si="175"/>
        <v>657249.61</v>
      </c>
      <c r="H618" s="422">
        <f t="shared" si="176"/>
        <v>-1.7648410769413713E-2</v>
      </c>
      <c r="I618" s="423">
        <f t="shared" si="177"/>
        <v>-11807.800000000047</v>
      </c>
    </row>
    <row r="619" spans="1:9" x14ac:dyDescent="0.2">
      <c r="A619" s="420" t="s">
        <v>409</v>
      </c>
      <c r="B619" s="420" t="s">
        <v>348</v>
      </c>
      <c r="C619" s="420" t="s">
        <v>39</v>
      </c>
      <c r="D619" s="423">
        <v>11824.44</v>
      </c>
      <c r="E619" s="423">
        <v>17422.150000000001</v>
      </c>
      <c r="F619" s="423">
        <v>71452.72</v>
      </c>
      <c r="G619" s="423">
        <f t="shared" si="175"/>
        <v>100699.31</v>
      </c>
      <c r="H619" s="422">
        <f t="shared" si="176"/>
        <v>-8.2224080672964994E-2</v>
      </c>
      <c r="I619" s="423">
        <f t="shared" si="177"/>
        <v>-9021.7100000000064</v>
      </c>
    </row>
    <row r="620" spans="1:9" x14ac:dyDescent="0.2">
      <c r="A620" s="420" t="s">
        <v>409</v>
      </c>
      <c r="B620" s="420" t="s">
        <v>350</v>
      </c>
      <c r="C620" s="420" t="s">
        <v>38</v>
      </c>
      <c r="D620" s="423">
        <v>7640.92</v>
      </c>
      <c r="E620" s="423">
        <v>2357.98</v>
      </c>
      <c r="F620" s="423">
        <v>130361.76</v>
      </c>
      <c r="G620" s="423">
        <f t="shared" si="175"/>
        <v>140360.66</v>
      </c>
      <c r="H620" s="422">
        <f t="shared" si="176"/>
        <v>-0.1317531760821764</v>
      </c>
      <c r="I620" s="423">
        <f t="shared" si="177"/>
        <v>-21299.199999999983</v>
      </c>
    </row>
    <row r="621" spans="1:9" x14ac:dyDescent="0.2">
      <c r="A621" s="420" t="s">
        <v>409</v>
      </c>
      <c r="B621" s="420" t="s">
        <v>350</v>
      </c>
      <c r="C621" s="420" t="s">
        <v>39</v>
      </c>
      <c r="D621" s="423">
        <v>0</v>
      </c>
      <c r="E621" s="423">
        <v>0</v>
      </c>
      <c r="F621" s="423">
        <v>0</v>
      </c>
      <c r="G621" s="423">
        <f t="shared" si="175"/>
        <v>0</v>
      </c>
      <c r="H621" s="422">
        <f t="shared" si="176"/>
        <v>0</v>
      </c>
      <c r="I621" s="423">
        <f t="shared" si="177"/>
        <v>0</v>
      </c>
    </row>
    <row r="622" spans="1:9" x14ac:dyDescent="0.2">
      <c r="G622" s="423">
        <f>SUM(G615:G621)</f>
        <v>1122249.3699999999</v>
      </c>
      <c r="H622" s="422">
        <f t="shared" si="176"/>
        <v>-4.050393197819277E-2</v>
      </c>
      <c r="I622" s="423">
        <f>G622-G612</f>
        <v>-47374.360000000102</v>
      </c>
    </row>
    <row r="624" spans="1:9" ht="15.75" x14ac:dyDescent="0.25">
      <c r="A624" s="426">
        <v>43708</v>
      </c>
      <c r="B624" s="424" t="s">
        <v>343</v>
      </c>
      <c r="C624" s="424" t="s">
        <v>33</v>
      </c>
      <c r="D624" s="424" t="s">
        <v>34</v>
      </c>
      <c r="E624" s="424" t="s">
        <v>35</v>
      </c>
      <c r="F624" s="424" t="s">
        <v>103</v>
      </c>
      <c r="G624" s="425" t="s">
        <v>9</v>
      </c>
    </row>
    <row r="625" spans="1:9" x14ac:dyDescent="0.2">
      <c r="A625" s="420" t="s">
        <v>409</v>
      </c>
      <c r="B625" s="420" t="s">
        <v>21</v>
      </c>
      <c r="C625" s="420" t="s">
        <v>38</v>
      </c>
      <c r="D625" s="423">
        <v>106663.97</v>
      </c>
      <c r="E625" s="423">
        <v>10747.78</v>
      </c>
      <c r="F625" s="423">
        <v>1049.57</v>
      </c>
      <c r="G625" s="423">
        <f>SUM(D625:F625)</f>
        <v>118461.32</v>
      </c>
      <c r="H625" s="422">
        <f>IF(G615&gt;0,(G625-G615)/G615,0)</f>
        <v>9.0100657246527458</v>
      </c>
      <c r="I625" s="423">
        <f>G625-G615</f>
        <v>106627.1</v>
      </c>
    </row>
    <row r="626" spans="1:9" x14ac:dyDescent="0.2">
      <c r="A626" s="420" t="s">
        <v>409</v>
      </c>
      <c r="B626" s="420" t="s">
        <v>351</v>
      </c>
      <c r="C626" s="420" t="s">
        <v>38</v>
      </c>
      <c r="D626" s="423">
        <v>0</v>
      </c>
      <c r="E626" s="423">
        <v>0</v>
      </c>
      <c r="F626" s="423">
        <v>0</v>
      </c>
      <c r="G626" s="423">
        <f t="shared" ref="G626:G631" si="178">SUM(D626:F626)</f>
        <v>0</v>
      </c>
      <c r="H626" s="422">
        <f t="shared" ref="H626:H632" si="179">IF(G616&gt;0,(G626-G616)/G616,0)</f>
        <v>0</v>
      </c>
      <c r="I626" s="423">
        <f t="shared" ref="I626:I631" si="180">G626-G616</f>
        <v>0</v>
      </c>
    </row>
    <row r="627" spans="1:9" x14ac:dyDescent="0.2">
      <c r="A627" s="420" t="s">
        <v>409</v>
      </c>
      <c r="B627" s="420" t="s">
        <v>345</v>
      </c>
      <c r="C627" s="420" t="s">
        <v>38</v>
      </c>
      <c r="D627" s="423">
        <v>32503.05</v>
      </c>
      <c r="E627" s="423">
        <v>8906.59</v>
      </c>
      <c r="F627" s="423">
        <v>198806.14</v>
      </c>
      <c r="G627" s="423">
        <f t="shared" si="178"/>
        <v>240215.78000000003</v>
      </c>
      <c r="H627" s="422">
        <f t="shared" si="179"/>
        <v>0.13252933433101272</v>
      </c>
      <c r="I627" s="423">
        <f t="shared" si="180"/>
        <v>28110.210000000021</v>
      </c>
    </row>
    <row r="628" spans="1:9" x14ac:dyDescent="0.2">
      <c r="A628" s="420" t="s">
        <v>409</v>
      </c>
      <c r="B628" s="420" t="s">
        <v>348</v>
      </c>
      <c r="C628" s="420" t="s">
        <v>38</v>
      </c>
      <c r="D628" s="423">
        <v>63751.94</v>
      </c>
      <c r="E628" s="423">
        <v>23944.720000000001</v>
      </c>
      <c r="F628" s="423">
        <v>587414.06999999995</v>
      </c>
      <c r="G628" s="423">
        <f t="shared" si="178"/>
        <v>675110.73</v>
      </c>
      <c r="H628" s="422">
        <f t="shared" si="179"/>
        <v>2.7175550549204581E-2</v>
      </c>
      <c r="I628" s="423">
        <f t="shared" si="180"/>
        <v>17861.119999999995</v>
      </c>
    </row>
    <row r="629" spans="1:9" x14ac:dyDescent="0.2">
      <c r="A629" s="420" t="s">
        <v>409</v>
      </c>
      <c r="B629" s="420" t="s">
        <v>348</v>
      </c>
      <c r="C629" s="420" t="s">
        <v>39</v>
      </c>
      <c r="D629" s="423">
        <v>27564.59</v>
      </c>
      <c r="E629" s="423">
        <v>9476.33</v>
      </c>
      <c r="F629" s="423">
        <v>73395.08</v>
      </c>
      <c r="G629" s="423">
        <f t="shared" si="178"/>
        <v>110436</v>
      </c>
      <c r="H629" s="422">
        <f t="shared" si="179"/>
        <v>9.6690732041758806E-2</v>
      </c>
      <c r="I629" s="423">
        <f t="shared" si="180"/>
        <v>9736.6900000000023</v>
      </c>
    </row>
    <row r="630" spans="1:9" x14ac:dyDescent="0.2">
      <c r="A630" s="420" t="s">
        <v>409</v>
      </c>
      <c r="B630" s="420" t="s">
        <v>350</v>
      </c>
      <c r="C630" s="420" t="s">
        <v>38</v>
      </c>
      <c r="D630" s="423">
        <v>33273.51</v>
      </c>
      <c r="E630" s="423">
        <v>4245.17</v>
      </c>
      <c r="F630" s="423">
        <v>126351.62</v>
      </c>
      <c r="G630" s="423">
        <f t="shared" si="178"/>
        <v>163870.29999999999</v>
      </c>
      <c r="H630" s="422">
        <f t="shared" si="179"/>
        <v>0.16749451021390172</v>
      </c>
      <c r="I630" s="423">
        <f t="shared" si="180"/>
        <v>23509.639999999985</v>
      </c>
    </row>
    <row r="631" spans="1:9" x14ac:dyDescent="0.2">
      <c r="A631" s="420" t="s">
        <v>409</v>
      </c>
      <c r="B631" s="420" t="s">
        <v>350</v>
      </c>
      <c r="C631" s="420" t="s">
        <v>39</v>
      </c>
      <c r="D631" s="423">
        <v>0</v>
      </c>
      <c r="E631" s="423">
        <v>0</v>
      </c>
      <c r="F631" s="423">
        <v>0</v>
      </c>
      <c r="G631" s="423">
        <f t="shared" si="178"/>
        <v>0</v>
      </c>
      <c r="H631" s="422">
        <f t="shared" si="179"/>
        <v>0</v>
      </c>
      <c r="I631" s="423">
        <f t="shared" si="180"/>
        <v>0</v>
      </c>
    </row>
    <row r="632" spans="1:9" x14ac:dyDescent="0.2">
      <c r="G632" s="423">
        <f>SUM(G625:G631)</f>
        <v>1308094.1300000001</v>
      </c>
      <c r="H632" s="422">
        <f t="shared" si="179"/>
        <v>0.16560023553410438</v>
      </c>
      <c r="I632" s="423">
        <f>G632-G622</f>
        <v>185844.76000000024</v>
      </c>
    </row>
    <row r="634" spans="1:9" ht="15.75" x14ac:dyDescent="0.25">
      <c r="A634" s="426">
        <v>43738</v>
      </c>
      <c r="B634" s="424" t="s">
        <v>343</v>
      </c>
      <c r="C634" s="424" t="s">
        <v>33</v>
      </c>
      <c r="D634" s="424" t="s">
        <v>34</v>
      </c>
      <c r="E634" s="424" t="s">
        <v>35</v>
      </c>
      <c r="F634" s="424" t="s">
        <v>103</v>
      </c>
      <c r="G634" s="425" t="s">
        <v>9</v>
      </c>
    </row>
    <row r="635" spans="1:9" x14ac:dyDescent="0.2">
      <c r="A635" s="420" t="s">
        <v>409</v>
      </c>
      <c r="B635" s="420" t="s">
        <v>21</v>
      </c>
      <c r="C635" s="420" t="s">
        <v>38</v>
      </c>
      <c r="D635" s="423">
        <v>27315.34</v>
      </c>
      <c r="E635" s="423">
        <v>97368.82</v>
      </c>
      <c r="F635" s="423">
        <v>2084.3000000000002</v>
      </c>
      <c r="G635" s="423">
        <f>SUM(D635:F635)</f>
        <v>126768.46</v>
      </c>
      <c r="H635" s="422">
        <f>IF(G625&gt;0,(G635-G625)/G625,0)</f>
        <v>7.0125337114258043E-2</v>
      </c>
      <c r="I635" s="423">
        <f>G635-G625</f>
        <v>8307.14</v>
      </c>
    </row>
    <row r="636" spans="1:9" x14ac:dyDescent="0.2">
      <c r="A636" s="420" t="s">
        <v>409</v>
      </c>
      <c r="B636" s="420" t="s">
        <v>351</v>
      </c>
      <c r="C636" s="420" t="s">
        <v>38</v>
      </c>
      <c r="D636" s="423">
        <v>0</v>
      </c>
      <c r="E636" s="423">
        <v>0</v>
      </c>
      <c r="F636" s="423">
        <v>0</v>
      </c>
      <c r="G636" s="423">
        <f t="shared" ref="G636:G641" si="181">SUM(D636:F636)</f>
        <v>0</v>
      </c>
      <c r="H636" s="422">
        <f t="shared" ref="H636:H642" si="182">IF(G626&gt;0,(G636-G626)/G626,0)</f>
        <v>0</v>
      </c>
      <c r="I636" s="423">
        <f t="shared" ref="I636:I641" si="183">G636-G626</f>
        <v>0</v>
      </c>
    </row>
    <row r="637" spans="1:9" x14ac:dyDescent="0.2">
      <c r="A637" s="420" t="s">
        <v>409</v>
      </c>
      <c r="B637" s="420" t="s">
        <v>345</v>
      </c>
      <c r="C637" s="420" t="s">
        <v>38</v>
      </c>
      <c r="D637" s="423">
        <v>9050.17</v>
      </c>
      <c r="E637" s="423">
        <v>31582.43</v>
      </c>
      <c r="F637" s="423">
        <v>198929.98</v>
      </c>
      <c r="G637" s="423">
        <f t="shared" si="181"/>
        <v>239562.58000000002</v>
      </c>
      <c r="H637" s="422">
        <f t="shared" si="182"/>
        <v>-2.7192218596131012E-3</v>
      </c>
      <c r="I637" s="423">
        <f t="shared" si="183"/>
        <v>-653.20000000001164</v>
      </c>
    </row>
    <row r="638" spans="1:9" x14ac:dyDescent="0.2">
      <c r="A638" s="420" t="s">
        <v>409</v>
      </c>
      <c r="B638" s="420" t="s">
        <v>348</v>
      </c>
      <c r="C638" s="420" t="s">
        <v>38</v>
      </c>
      <c r="D638" s="423">
        <v>42234.61</v>
      </c>
      <c r="E638" s="423">
        <v>46783.54</v>
      </c>
      <c r="F638" s="423">
        <v>575318.81999999995</v>
      </c>
      <c r="G638" s="423">
        <f t="shared" si="181"/>
        <v>664336.97</v>
      </c>
      <c r="H638" s="422">
        <f t="shared" si="182"/>
        <v>-1.5958508021343416E-2</v>
      </c>
      <c r="I638" s="423">
        <f t="shared" si="183"/>
        <v>-10773.760000000009</v>
      </c>
    </row>
    <row r="639" spans="1:9" x14ac:dyDescent="0.2">
      <c r="A639" s="420" t="s">
        <v>409</v>
      </c>
      <c r="B639" s="420" t="s">
        <v>348</v>
      </c>
      <c r="C639" s="420" t="s">
        <v>39</v>
      </c>
      <c r="D639" s="423">
        <v>15030.18</v>
      </c>
      <c r="E639" s="423">
        <v>25220.28</v>
      </c>
      <c r="F639" s="423">
        <v>69988.34</v>
      </c>
      <c r="G639" s="423">
        <f t="shared" si="181"/>
        <v>110238.79999999999</v>
      </c>
      <c r="H639" s="422">
        <f t="shared" si="182"/>
        <v>-1.7856496070123116E-3</v>
      </c>
      <c r="I639" s="423">
        <f t="shared" si="183"/>
        <v>-197.20000000001164</v>
      </c>
    </row>
    <row r="640" spans="1:9" x14ac:dyDescent="0.2">
      <c r="A640" s="420" t="s">
        <v>409</v>
      </c>
      <c r="B640" s="420" t="s">
        <v>350</v>
      </c>
      <c r="C640" s="420" t="s">
        <v>38</v>
      </c>
      <c r="D640" s="423">
        <v>18431.330000000002</v>
      </c>
      <c r="E640" s="423">
        <v>24410.52</v>
      </c>
      <c r="F640" s="423">
        <v>72074.28</v>
      </c>
      <c r="G640" s="423">
        <f t="shared" si="181"/>
        <v>114916.13</v>
      </c>
      <c r="H640" s="422">
        <f t="shared" si="182"/>
        <v>-0.29873729406732025</v>
      </c>
      <c r="I640" s="423">
        <f t="shared" si="183"/>
        <v>-48954.169999999984</v>
      </c>
    </row>
    <row r="641" spans="1:9" x14ac:dyDescent="0.2">
      <c r="A641" s="420" t="s">
        <v>409</v>
      </c>
      <c r="B641" s="420" t="s">
        <v>350</v>
      </c>
      <c r="C641" s="420" t="s">
        <v>39</v>
      </c>
      <c r="D641" s="423">
        <v>0</v>
      </c>
      <c r="E641" s="423">
        <v>0</v>
      </c>
      <c r="F641" s="423">
        <v>0</v>
      </c>
      <c r="G641" s="423">
        <f t="shared" si="181"/>
        <v>0</v>
      </c>
      <c r="H641" s="422">
        <f t="shared" si="182"/>
        <v>0</v>
      </c>
      <c r="I641" s="423">
        <f t="shared" si="183"/>
        <v>0</v>
      </c>
    </row>
    <row r="642" spans="1:9" x14ac:dyDescent="0.2">
      <c r="G642" s="423">
        <f>SUM(G635:G641)</f>
        <v>1255822.94</v>
      </c>
      <c r="H642" s="422">
        <f t="shared" si="182"/>
        <v>-3.9959807785392459E-2</v>
      </c>
      <c r="I642" s="423">
        <f>G642-G632</f>
        <v>-52271.190000000177</v>
      </c>
    </row>
    <row r="644" spans="1:9" ht="15.75" x14ac:dyDescent="0.25">
      <c r="A644" s="426">
        <v>43769</v>
      </c>
      <c r="B644" s="424" t="s">
        <v>343</v>
      </c>
      <c r="C644" s="424" t="s">
        <v>33</v>
      </c>
      <c r="D644" s="424" t="s">
        <v>34</v>
      </c>
      <c r="E644" s="424" t="s">
        <v>35</v>
      </c>
      <c r="F644" s="424" t="s">
        <v>103</v>
      </c>
      <c r="G644" s="425" t="s">
        <v>9</v>
      </c>
    </row>
    <row r="645" spans="1:9" x14ac:dyDescent="0.2">
      <c r="A645" s="420" t="s">
        <v>409</v>
      </c>
      <c r="B645" s="420" t="s">
        <v>21</v>
      </c>
      <c r="C645" s="420" t="s">
        <v>38</v>
      </c>
      <c r="D645" s="423">
        <v>4317.1499999999996</v>
      </c>
      <c r="E645" s="423">
        <v>21819.1</v>
      </c>
      <c r="F645" s="423">
        <v>67561.08</v>
      </c>
      <c r="G645" s="423">
        <f>SUM(D645:F645)</f>
        <v>93697.33</v>
      </c>
      <c r="H645" s="422">
        <f>IF(G635&gt;0,(G645-G635)/G635,0)</f>
        <v>-0.26087821844644954</v>
      </c>
      <c r="I645" s="423">
        <f>G645-G635</f>
        <v>-33071.130000000005</v>
      </c>
    </row>
    <row r="646" spans="1:9" x14ac:dyDescent="0.2">
      <c r="A646" s="420" t="s">
        <v>409</v>
      </c>
      <c r="B646" s="420" t="s">
        <v>351</v>
      </c>
      <c r="C646" s="420" t="s">
        <v>38</v>
      </c>
      <c r="D646" s="423">
        <v>0</v>
      </c>
      <c r="E646" s="423">
        <v>0</v>
      </c>
      <c r="F646" s="423">
        <v>0</v>
      </c>
      <c r="G646" s="423">
        <f t="shared" ref="G646:G651" si="184">SUM(D646:F646)</f>
        <v>0</v>
      </c>
      <c r="H646" s="422">
        <f t="shared" ref="H646:H652" si="185">IF(G636&gt;0,(G646-G636)/G636,0)</f>
        <v>0</v>
      </c>
      <c r="I646" s="423">
        <f t="shared" ref="I646:I651" si="186">G646-G636</f>
        <v>0</v>
      </c>
    </row>
    <row r="647" spans="1:9" x14ac:dyDescent="0.2">
      <c r="A647" s="420" t="s">
        <v>409</v>
      </c>
      <c r="B647" s="420" t="s">
        <v>345</v>
      </c>
      <c r="C647" s="420" t="s">
        <v>38</v>
      </c>
      <c r="D647" s="423">
        <v>10607.91</v>
      </c>
      <c r="E647" s="423">
        <v>4284.1899999999996</v>
      </c>
      <c r="F647" s="423">
        <v>200284.71</v>
      </c>
      <c r="G647" s="423">
        <f t="shared" si="184"/>
        <v>215176.81</v>
      </c>
      <c r="H647" s="422">
        <f t="shared" si="185"/>
        <v>-0.10179290104489615</v>
      </c>
      <c r="I647" s="423">
        <f t="shared" si="186"/>
        <v>-24385.770000000019</v>
      </c>
    </row>
    <row r="648" spans="1:9" x14ac:dyDescent="0.2">
      <c r="A648" s="420" t="s">
        <v>409</v>
      </c>
      <c r="B648" s="420" t="s">
        <v>348</v>
      </c>
      <c r="C648" s="420" t="s">
        <v>38</v>
      </c>
      <c r="D648" s="423">
        <v>24491.88</v>
      </c>
      <c r="E648" s="423">
        <v>32546.05</v>
      </c>
      <c r="F648" s="423">
        <v>582057.11</v>
      </c>
      <c r="G648" s="423">
        <f t="shared" si="184"/>
        <v>639095.04000000004</v>
      </c>
      <c r="H648" s="422">
        <f t="shared" si="185"/>
        <v>-3.799567258766276E-2</v>
      </c>
      <c r="I648" s="423">
        <f t="shared" si="186"/>
        <v>-25241.929999999935</v>
      </c>
    </row>
    <row r="649" spans="1:9" x14ac:dyDescent="0.2">
      <c r="A649" s="420" t="s">
        <v>409</v>
      </c>
      <c r="B649" s="420" t="s">
        <v>348</v>
      </c>
      <c r="C649" s="420" t="s">
        <v>39</v>
      </c>
      <c r="D649" s="423">
        <v>14907.29</v>
      </c>
      <c r="E649" s="423">
        <v>11132.27</v>
      </c>
      <c r="F649" s="423">
        <v>75114.080000000002</v>
      </c>
      <c r="G649" s="423">
        <f t="shared" si="184"/>
        <v>101153.64</v>
      </c>
      <c r="H649" s="422">
        <f t="shared" si="185"/>
        <v>-8.2413451525234216E-2</v>
      </c>
      <c r="I649" s="423">
        <f t="shared" si="186"/>
        <v>-9085.1599999999889</v>
      </c>
    </row>
    <row r="650" spans="1:9" x14ac:dyDescent="0.2">
      <c r="A650" s="420" t="s">
        <v>409</v>
      </c>
      <c r="B650" s="420" t="s">
        <v>350</v>
      </c>
      <c r="C650" s="420" t="s">
        <v>38</v>
      </c>
      <c r="D650" s="423">
        <v>5496.43</v>
      </c>
      <c r="E650" s="423">
        <v>14597.18</v>
      </c>
      <c r="F650" s="423">
        <v>76925.289999999994</v>
      </c>
      <c r="G650" s="423">
        <f t="shared" si="184"/>
        <v>97018.9</v>
      </c>
      <c r="H650" s="422">
        <f t="shared" si="185"/>
        <v>-0.15574167003361503</v>
      </c>
      <c r="I650" s="423">
        <f t="shared" si="186"/>
        <v>-17897.23000000001</v>
      </c>
    </row>
    <row r="651" spans="1:9" x14ac:dyDescent="0.2">
      <c r="A651" s="420" t="s">
        <v>409</v>
      </c>
      <c r="B651" s="420" t="s">
        <v>350</v>
      </c>
      <c r="C651" s="420" t="s">
        <v>39</v>
      </c>
      <c r="D651" s="423">
        <v>0</v>
      </c>
      <c r="E651" s="423">
        <v>0</v>
      </c>
      <c r="F651" s="423">
        <v>0</v>
      </c>
      <c r="G651" s="423">
        <f t="shared" si="184"/>
        <v>0</v>
      </c>
      <c r="H651" s="422">
        <f t="shared" si="185"/>
        <v>0</v>
      </c>
      <c r="I651" s="423">
        <f t="shared" si="186"/>
        <v>0</v>
      </c>
    </row>
    <row r="652" spans="1:9" x14ac:dyDescent="0.2">
      <c r="G652" s="423">
        <f>SUM(G645:G651)</f>
        <v>1146141.72</v>
      </c>
      <c r="H652" s="422">
        <f t="shared" si="185"/>
        <v>-8.7338124274111431E-2</v>
      </c>
      <c r="I652" s="423">
        <f>G652-G642</f>
        <v>-109681.21999999997</v>
      </c>
    </row>
    <row r="654" spans="1:9" ht="15.75" x14ac:dyDescent="0.25">
      <c r="A654" s="426">
        <v>43799</v>
      </c>
      <c r="B654" s="424" t="s">
        <v>343</v>
      </c>
      <c r="C654" s="424" t="s">
        <v>33</v>
      </c>
      <c r="D654" s="424" t="s">
        <v>34</v>
      </c>
      <c r="E654" s="424" t="s">
        <v>35</v>
      </c>
      <c r="F654" s="424" t="s">
        <v>103</v>
      </c>
      <c r="G654" s="425" t="s">
        <v>9</v>
      </c>
    </row>
    <row r="655" spans="1:9" x14ac:dyDescent="0.2">
      <c r="A655" s="420" t="s">
        <v>409</v>
      </c>
      <c r="B655" s="420" t="s">
        <v>21</v>
      </c>
      <c r="C655" s="420" t="s">
        <v>38</v>
      </c>
      <c r="D655" s="423">
        <v>406.37</v>
      </c>
      <c r="E655" s="423">
        <v>4317.1499999999996</v>
      </c>
      <c r="F655" s="423">
        <v>89087.56</v>
      </c>
      <c r="G655" s="423">
        <f>SUM(D655:F655)</f>
        <v>93811.08</v>
      </c>
      <c r="H655" s="422">
        <f>IF(G645&gt;0,(G655-G645)/G645,0)</f>
        <v>1.2140153833625782E-3</v>
      </c>
      <c r="I655" s="423">
        <f>G655-G645</f>
        <v>113.75</v>
      </c>
    </row>
    <row r="656" spans="1:9" x14ac:dyDescent="0.2">
      <c r="A656" s="420" t="s">
        <v>409</v>
      </c>
      <c r="B656" s="420" t="s">
        <v>351</v>
      </c>
      <c r="C656" s="420" t="s">
        <v>38</v>
      </c>
      <c r="D656" s="423">
        <v>0</v>
      </c>
      <c r="E656" s="423">
        <v>0</v>
      </c>
      <c r="F656" s="423">
        <v>0</v>
      </c>
      <c r="G656" s="423">
        <f t="shared" ref="G656:G661" si="187">SUM(D656:F656)</f>
        <v>0</v>
      </c>
      <c r="H656" s="422">
        <f t="shared" ref="H656:H662" si="188">IF(G646&gt;0,(G656-G646)/G646,0)</f>
        <v>0</v>
      </c>
      <c r="I656" s="423">
        <f t="shared" ref="I656:I661" si="189">G656-G646</f>
        <v>0</v>
      </c>
    </row>
    <row r="657" spans="1:9" x14ac:dyDescent="0.2">
      <c r="A657" s="420" t="s">
        <v>409</v>
      </c>
      <c r="B657" s="420" t="s">
        <v>345</v>
      </c>
      <c r="C657" s="420" t="s">
        <v>38</v>
      </c>
      <c r="D657" s="423">
        <v>15108.59</v>
      </c>
      <c r="E657" s="423">
        <v>8625.7099999999991</v>
      </c>
      <c r="F657" s="423">
        <v>201002.87</v>
      </c>
      <c r="G657" s="423">
        <f t="shared" si="187"/>
        <v>224737.16999999998</v>
      </c>
      <c r="H657" s="422">
        <f t="shared" si="188"/>
        <v>4.4430252497934079E-2</v>
      </c>
      <c r="I657" s="423">
        <f t="shared" si="189"/>
        <v>9560.359999999986</v>
      </c>
    </row>
    <row r="658" spans="1:9" x14ac:dyDescent="0.2">
      <c r="A658" s="420" t="s">
        <v>409</v>
      </c>
      <c r="B658" s="420" t="s">
        <v>348</v>
      </c>
      <c r="C658" s="420" t="s">
        <v>38</v>
      </c>
      <c r="D658" s="423">
        <v>58049.99</v>
      </c>
      <c r="E658" s="423">
        <v>17697.07</v>
      </c>
      <c r="F658" s="423">
        <v>583273.25</v>
      </c>
      <c r="G658" s="423">
        <f t="shared" si="187"/>
        <v>659020.31000000006</v>
      </c>
      <c r="H658" s="422">
        <f t="shared" si="188"/>
        <v>3.1177319104213386E-2</v>
      </c>
      <c r="I658" s="423">
        <f t="shared" si="189"/>
        <v>19925.270000000019</v>
      </c>
    </row>
    <row r="659" spans="1:9" x14ac:dyDescent="0.2">
      <c r="A659" s="420" t="s">
        <v>409</v>
      </c>
      <c r="B659" s="420" t="s">
        <v>348</v>
      </c>
      <c r="C659" s="420" t="s">
        <v>39</v>
      </c>
      <c r="D659" s="423">
        <v>23592.41</v>
      </c>
      <c r="E659" s="423">
        <v>12811.87</v>
      </c>
      <c r="F659" s="423">
        <v>71960.75</v>
      </c>
      <c r="G659" s="423">
        <f t="shared" si="187"/>
        <v>108365.03</v>
      </c>
      <c r="H659" s="422">
        <f t="shared" si="188"/>
        <v>7.1291453278399072E-2</v>
      </c>
      <c r="I659" s="423">
        <f t="shared" si="189"/>
        <v>7211.3899999999994</v>
      </c>
    </row>
    <row r="660" spans="1:9" x14ac:dyDescent="0.2">
      <c r="A660" s="420" t="s">
        <v>409</v>
      </c>
      <c r="B660" s="420" t="s">
        <v>350</v>
      </c>
      <c r="C660" s="420" t="s">
        <v>38</v>
      </c>
      <c r="D660" s="423">
        <v>16800.650000000001</v>
      </c>
      <c r="E660" s="423">
        <v>1995.49</v>
      </c>
      <c r="F660" s="423">
        <v>77938.44</v>
      </c>
      <c r="G660" s="423">
        <f t="shared" si="187"/>
        <v>96734.58</v>
      </c>
      <c r="H660" s="422">
        <f t="shared" si="188"/>
        <v>-2.9305630140105945E-3</v>
      </c>
      <c r="I660" s="423">
        <f t="shared" si="189"/>
        <v>-284.31999999999243</v>
      </c>
    </row>
    <row r="661" spans="1:9" x14ac:dyDescent="0.2">
      <c r="A661" s="420" t="s">
        <v>409</v>
      </c>
      <c r="B661" s="420" t="s">
        <v>350</v>
      </c>
      <c r="C661" s="420" t="s">
        <v>39</v>
      </c>
      <c r="D661" s="423">
        <v>0</v>
      </c>
      <c r="E661" s="423">
        <v>0</v>
      </c>
      <c r="F661" s="423">
        <v>0</v>
      </c>
      <c r="G661" s="423">
        <f t="shared" si="187"/>
        <v>0</v>
      </c>
      <c r="H661" s="422">
        <f t="shared" si="188"/>
        <v>0</v>
      </c>
      <c r="I661" s="423">
        <f t="shared" si="189"/>
        <v>0</v>
      </c>
    </row>
    <row r="662" spans="1:9" x14ac:dyDescent="0.2">
      <c r="G662" s="423">
        <f>SUM(G655:G661)</f>
        <v>1182668.1700000002</v>
      </c>
      <c r="H662" s="422">
        <f t="shared" si="188"/>
        <v>3.1869051935392585E-2</v>
      </c>
      <c r="I662" s="423">
        <f>G662-G652</f>
        <v>36526.450000000186</v>
      </c>
    </row>
    <row r="664" spans="1:9" ht="15.75" x14ac:dyDescent="0.25">
      <c r="A664" s="426">
        <v>43830</v>
      </c>
      <c r="B664" s="424" t="s">
        <v>343</v>
      </c>
      <c r="C664" s="424" t="s">
        <v>33</v>
      </c>
      <c r="D664" s="424" t="s">
        <v>34</v>
      </c>
      <c r="E664" s="424" t="s">
        <v>35</v>
      </c>
      <c r="F664" s="424" t="s">
        <v>103</v>
      </c>
      <c r="G664" s="425" t="s">
        <v>9</v>
      </c>
    </row>
    <row r="665" spans="1:9" x14ac:dyDescent="0.2">
      <c r="A665" s="420" t="s">
        <v>409</v>
      </c>
      <c r="B665" s="420" t="s">
        <v>21</v>
      </c>
      <c r="C665" s="420" t="s">
        <v>38</v>
      </c>
      <c r="D665" s="423">
        <v>52281.43</v>
      </c>
      <c r="E665" s="423">
        <v>7.74</v>
      </c>
      <c r="F665" s="423">
        <v>56433.87</v>
      </c>
      <c r="G665" s="423">
        <f>SUM(D665:F665)</f>
        <v>108723.04000000001</v>
      </c>
      <c r="H665" s="422">
        <f>IF(G655&gt;0,(G665-G655)/G655,0)</f>
        <v>0.15895734277869955</v>
      </c>
      <c r="I665" s="423">
        <f>G665-G655</f>
        <v>14911.960000000006</v>
      </c>
    </row>
    <row r="666" spans="1:9" x14ac:dyDescent="0.2">
      <c r="A666" s="420" t="s">
        <v>409</v>
      </c>
      <c r="B666" s="420" t="s">
        <v>351</v>
      </c>
      <c r="C666" s="420" t="s">
        <v>38</v>
      </c>
      <c r="D666" s="423">
        <v>0</v>
      </c>
      <c r="E666" s="423">
        <v>0</v>
      </c>
      <c r="F666" s="423">
        <v>0</v>
      </c>
      <c r="G666" s="423">
        <f t="shared" ref="G666:G671" si="190">SUM(D666:F666)</f>
        <v>0</v>
      </c>
      <c r="H666" s="422">
        <f t="shared" ref="H666:H672" si="191">IF(G656&gt;0,(G666-G656)/G656,0)</f>
        <v>0</v>
      </c>
      <c r="I666" s="423">
        <f t="shared" ref="I666:I671" si="192">G666-G656</f>
        <v>0</v>
      </c>
    </row>
    <row r="667" spans="1:9" x14ac:dyDescent="0.2">
      <c r="A667" s="420" t="s">
        <v>409</v>
      </c>
      <c r="B667" s="420" t="s">
        <v>345</v>
      </c>
      <c r="C667" s="420" t="s">
        <v>38</v>
      </c>
      <c r="D667" s="423">
        <v>8961.4699999999993</v>
      </c>
      <c r="E667" s="423">
        <v>10484.620000000001</v>
      </c>
      <c r="F667" s="423">
        <v>205410.17</v>
      </c>
      <c r="G667" s="423">
        <f t="shared" si="190"/>
        <v>224856.26</v>
      </c>
      <c r="H667" s="422">
        <f t="shared" si="191"/>
        <v>5.2990789196119905E-4</v>
      </c>
      <c r="I667" s="423">
        <f t="shared" si="192"/>
        <v>119.09000000002561</v>
      </c>
    </row>
    <row r="668" spans="1:9" x14ac:dyDescent="0.2">
      <c r="A668" s="420" t="s">
        <v>409</v>
      </c>
      <c r="B668" s="420" t="s">
        <v>348</v>
      </c>
      <c r="C668" s="420" t="s">
        <v>38</v>
      </c>
      <c r="D668" s="423">
        <v>36265.040000000001</v>
      </c>
      <c r="E668" s="423">
        <v>48068.23</v>
      </c>
      <c r="F668" s="423">
        <v>576820.81000000006</v>
      </c>
      <c r="G668" s="423">
        <f t="shared" si="190"/>
        <v>661154.08000000007</v>
      </c>
      <c r="H668" s="422">
        <f t="shared" si="191"/>
        <v>3.2377909567005885E-3</v>
      </c>
      <c r="I668" s="423">
        <f t="shared" si="192"/>
        <v>2133.7700000000186</v>
      </c>
    </row>
    <row r="669" spans="1:9" x14ac:dyDescent="0.2">
      <c r="A669" s="420" t="s">
        <v>409</v>
      </c>
      <c r="B669" s="420" t="s">
        <v>348</v>
      </c>
      <c r="C669" s="420" t="s">
        <v>39</v>
      </c>
      <c r="D669" s="423">
        <v>14079.2</v>
      </c>
      <c r="E669" s="423">
        <v>21714.09</v>
      </c>
      <c r="F669" s="423">
        <v>73259.63</v>
      </c>
      <c r="G669" s="423">
        <f t="shared" si="190"/>
        <v>109052.92000000001</v>
      </c>
      <c r="H669" s="422">
        <f t="shared" si="191"/>
        <v>6.3478965492836017E-3</v>
      </c>
      <c r="I669" s="423">
        <f t="shared" si="192"/>
        <v>687.89000000001397</v>
      </c>
    </row>
    <row r="670" spans="1:9" x14ac:dyDescent="0.2">
      <c r="A670" s="420" t="s">
        <v>409</v>
      </c>
      <c r="B670" s="420" t="s">
        <v>350</v>
      </c>
      <c r="C670" s="420" t="s">
        <v>38</v>
      </c>
      <c r="D670" s="423">
        <v>4716.22</v>
      </c>
      <c r="E670" s="423">
        <v>11803.49</v>
      </c>
      <c r="F670" s="423">
        <v>49867</v>
      </c>
      <c r="G670" s="423">
        <f t="shared" si="190"/>
        <v>66386.709999999992</v>
      </c>
      <c r="H670" s="422">
        <f t="shared" si="191"/>
        <v>-0.3137230760706255</v>
      </c>
      <c r="I670" s="423">
        <f t="shared" si="192"/>
        <v>-30347.87000000001</v>
      </c>
    </row>
    <row r="671" spans="1:9" x14ac:dyDescent="0.2">
      <c r="A671" s="420" t="s">
        <v>409</v>
      </c>
      <c r="B671" s="420" t="s">
        <v>350</v>
      </c>
      <c r="C671" s="420" t="s">
        <v>39</v>
      </c>
      <c r="D671" s="423">
        <v>0</v>
      </c>
      <c r="E671" s="423">
        <v>0</v>
      </c>
      <c r="F671" s="423">
        <v>0</v>
      </c>
      <c r="G671" s="423">
        <f t="shared" si="190"/>
        <v>0</v>
      </c>
      <c r="H671" s="422">
        <f t="shared" si="191"/>
        <v>0</v>
      </c>
      <c r="I671" s="423">
        <f t="shared" si="192"/>
        <v>0</v>
      </c>
    </row>
    <row r="672" spans="1:9" x14ac:dyDescent="0.2">
      <c r="G672" s="423">
        <f>SUM(G665:G671)</f>
        <v>1170173.01</v>
      </c>
      <c r="H672" s="422">
        <f t="shared" si="191"/>
        <v>-1.0565228960207958E-2</v>
      </c>
      <c r="I672" s="423">
        <f>G672-G662</f>
        <v>-12495.160000000149</v>
      </c>
    </row>
    <row r="674" spans="1:9" ht="15.75" x14ac:dyDescent="0.25">
      <c r="A674" s="426">
        <v>43861</v>
      </c>
      <c r="B674" s="424" t="s">
        <v>343</v>
      </c>
      <c r="C674" s="424" t="s">
        <v>33</v>
      </c>
      <c r="D674" s="424" t="s">
        <v>34</v>
      </c>
      <c r="E674" s="424" t="s">
        <v>35</v>
      </c>
      <c r="F674" s="424" t="s">
        <v>103</v>
      </c>
      <c r="G674" s="425" t="s">
        <v>9</v>
      </c>
    </row>
    <row r="675" spans="1:9" x14ac:dyDescent="0.2">
      <c r="A675" s="420" t="s">
        <v>409</v>
      </c>
      <c r="B675" s="420" t="s">
        <v>21</v>
      </c>
      <c r="C675" s="420" t="s">
        <v>38</v>
      </c>
      <c r="D675" s="423">
        <v>75</v>
      </c>
      <c r="E675" s="423">
        <v>16614.419999999998</v>
      </c>
      <c r="F675" s="423">
        <v>56234.39</v>
      </c>
      <c r="G675" s="423">
        <f>SUM(D675:F675)</f>
        <v>72923.81</v>
      </c>
      <c r="H675" s="422">
        <f>IF(G665&gt;0,(G675-G665)/G665,0)</f>
        <v>-0.32926995050911018</v>
      </c>
      <c r="I675" s="423">
        <f>G675-G665</f>
        <v>-35799.23000000001</v>
      </c>
    </row>
    <row r="676" spans="1:9" x14ac:dyDescent="0.2">
      <c r="A676" s="420" t="s">
        <v>409</v>
      </c>
      <c r="B676" s="420" t="s">
        <v>351</v>
      </c>
      <c r="C676" s="420" t="s">
        <v>38</v>
      </c>
      <c r="D676" s="423">
        <v>0</v>
      </c>
      <c r="E676" s="423">
        <v>0</v>
      </c>
      <c r="F676" s="423">
        <v>0</v>
      </c>
      <c r="G676" s="423">
        <f t="shared" ref="G676:G681" si="193">SUM(D676:F676)</f>
        <v>0</v>
      </c>
      <c r="H676" s="422">
        <f t="shared" ref="H676:H682" si="194">IF(G666&gt;0,(G676-G666)/G666,0)</f>
        <v>0</v>
      </c>
      <c r="I676" s="423">
        <f t="shared" ref="I676:I681" si="195">G676-G666</f>
        <v>0</v>
      </c>
    </row>
    <row r="677" spans="1:9" x14ac:dyDescent="0.2">
      <c r="A677" s="420" t="s">
        <v>409</v>
      </c>
      <c r="B677" s="420" t="s">
        <v>345</v>
      </c>
      <c r="C677" s="420" t="s">
        <v>38</v>
      </c>
      <c r="D677" s="423">
        <v>6529.26</v>
      </c>
      <c r="E677" s="423">
        <v>4252.95</v>
      </c>
      <c r="F677" s="423">
        <v>215844.38</v>
      </c>
      <c r="G677" s="423">
        <f t="shared" si="193"/>
        <v>226626.59</v>
      </c>
      <c r="H677" s="422">
        <f t="shared" si="194"/>
        <v>7.8731630598142428E-3</v>
      </c>
      <c r="I677" s="423">
        <f t="shared" si="195"/>
        <v>1770.3299999999872</v>
      </c>
    </row>
    <row r="678" spans="1:9" x14ac:dyDescent="0.2">
      <c r="A678" s="420" t="s">
        <v>409</v>
      </c>
      <c r="B678" s="420" t="s">
        <v>348</v>
      </c>
      <c r="C678" s="420" t="s">
        <v>38</v>
      </c>
      <c r="D678" s="423">
        <v>30694.799999999999</v>
      </c>
      <c r="E678" s="423">
        <v>25027.34</v>
      </c>
      <c r="F678" s="423">
        <v>599175.42000000004</v>
      </c>
      <c r="G678" s="423">
        <f t="shared" si="193"/>
        <v>654897.56000000006</v>
      </c>
      <c r="H678" s="422">
        <f t="shared" si="194"/>
        <v>-9.4630286483296262E-3</v>
      </c>
      <c r="I678" s="423">
        <f t="shared" si="195"/>
        <v>-6256.5200000000186</v>
      </c>
    </row>
    <row r="679" spans="1:9" x14ac:dyDescent="0.2">
      <c r="A679" s="420" t="s">
        <v>409</v>
      </c>
      <c r="B679" s="420" t="s">
        <v>348</v>
      </c>
      <c r="C679" s="420" t="s">
        <v>39</v>
      </c>
      <c r="D679" s="423">
        <v>12669.21</v>
      </c>
      <c r="E679" s="423">
        <v>10033.43</v>
      </c>
      <c r="F679" s="423">
        <v>78912.800000000003</v>
      </c>
      <c r="G679" s="423">
        <f t="shared" si="193"/>
        <v>101615.44</v>
      </c>
      <c r="H679" s="422">
        <f t="shared" si="194"/>
        <v>-6.8200649739594402E-2</v>
      </c>
      <c r="I679" s="423">
        <f t="shared" si="195"/>
        <v>-7437.4800000000105</v>
      </c>
    </row>
    <row r="680" spans="1:9" x14ac:dyDescent="0.2">
      <c r="A680" s="420" t="s">
        <v>409</v>
      </c>
      <c r="B680" s="420" t="s">
        <v>350</v>
      </c>
      <c r="C680" s="420" t="s">
        <v>38</v>
      </c>
      <c r="D680" s="423">
        <v>2407.67</v>
      </c>
      <c r="E680" s="423">
        <v>4141.1099999999997</v>
      </c>
      <c r="F680" s="423">
        <v>50333.5</v>
      </c>
      <c r="G680" s="423">
        <f t="shared" si="193"/>
        <v>56882.28</v>
      </c>
      <c r="H680" s="422">
        <f t="shared" si="194"/>
        <v>-0.14316766111771459</v>
      </c>
      <c r="I680" s="423">
        <f t="shared" si="195"/>
        <v>-9504.429999999993</v>
      </c>
    </row>
    <row r="681" spans="1:9" x14ac:dyDescent="0.2">
      <c r="A681" s="420" t="s">
        <v>409</v>
      </c>
      <c r="B681" s="420" t="s">
        <v>350</v>
      </c>
      <c r="C681" s="420" t="s">
        <v>39</v>
      </c>
      <c r="D681" s="423">
        <v>0</v>
      </c>
      <c r="E681" s="423">
        <v>0</v>
      </c>
      <c r="F681" s="423">
        <v>0</v>
      </c>
      <c r="G681" s="423">
        <f t="shared" si="193"/>
        <v>0</v>
      </c>
      <c r="H681" s="422">
        <f t="shared" si="194"/>
        <v>0</v>
      </c>
      <c r="I681" s="423">
        <f t="shared" si="195"/>
        <v>0</v>
      </c>
    </row>
    <row r="682" spans="1:9" x14ac:dyDescent="0.2">
      <c r="G682" s="423">
        <f>SUM(G675:G681)</f>
        <v>1112945.6800000002</v>
      </c>
      <c r="H682" s="422">
        <f t="shared" si="194"/>
        <v>-4.8905016190725369E-2</v>
      </c>
      <c r="I682" s="423">
        <f>G682-G672</f>
        <v>-57227.329999999842</v>
      </c>
    </row>
    <row r="684" spans="1:9" ht="15.75" x14ac:dyDescent="0.25">
      <c r="A684" s="426">
        <v>43890</v>
      </c>
      <c r="B684" s="424" t="s">
        <v>343</v>
      </c>
      <c r="C684" s="424" t="s">
        <v>33</v>
      </c>
      <c r="D684" s="424" t="s">
        <v>34</v>
      </c>
      <c r="E684" s="424" t="s">
        <v>35</v>
      </c>
      <c r="F684" s="424" t="s">
        <v>103</v>
      </c>
      <c r="G684" s="425" t="s">
        <v>9</v>
      </c>
    </row>
    <row r="685" spans="1:9" x14ac:dyDescent="0.2">
      <c r="A685" s="420" t="s">
        <v>409</v>
      </c>
      <c r="B685" s="420" t="s">
        <v>21</v>
      </c>
      <c r="C685" s="420" t="s">
        <v>38</v>
      </c>
      <c r="D685" s="423">
        <v>713.54</v>
      </c>
      <c r="E685" s="423">
        <v>0</v>
      </c>
      <c r="F685" s="423">
        <v>39738.97</v>
      </c>
      <c r="G685" s="423">
        <f>SUM(D685:F685)</f>
        <v>40452.51</v>
      </c>
      <c r="H685" s="422">
        <f>IF(G675&gt;0,(G685-G675)/G675,0)</f>
        <v>-0.44527706382867266</v>
      </c>
      <c r="I685" s="423">
        <f>G685-G675</f>
        <v>-32471.299999999996</v>
      </c>
    </row>
    <row r="686" spans="1:9" x14ac:dyDescent="0.2">
      <c r="A686" s="420" t="s">
        <v>409</v>
      </c>
      <c r="B686" s="420" t="s">
        <v>351</v>
      </c>
      <c r="C686" s="420" t="s">
        <v>38</v>
      </c>
      <c r="D686" s="423">
        <v>0</v>
      </c>
      <c r="E686" s="423">
        <v>0</v>
      </c>
      <c r="F686" s="423">
        <v>0</v>
      </c>
      <c r="G686" s="423">
        <f t="shared" ref="G686:G691" si="196">SUM(D686:F686)</f>
        <v>0</v>
      </c>
      <c r="H686" s="422">
        <f t="shared" ref="H686:H692" si="197">IF(G676&gt;0,(G686-G676)/G676,0)</f>
        <v>0</v>
      </c>
      <c r="I686" s="423">
        <f t="shared" ref="I686:I691" si="198">G686-G676</f>
        <v>0</v>
      </c>
    </row>
    <row r="687" spans="1:9" x14ac:dyDescent="0.2">
      <c r="A687" s="420" t="s">
        <v>409</v>
      </c>
      <c r="B687" s="420" t="s">
        <v>345</v>
      </c>
      <c r="C687" s="420" t="s">
        <v>38</v>
      </c>
      <c r="D687" s="423">
        <v>14274.78</v>
      </c>
      <c r="E687" s="423">
        <v>995.85</v>
      </c>
      <c r="F687" s="423">
        <v>206673.87</v>
      </c>
      <c r="G687" s="423">
        <f t="shared" si="196"/>
        <v>221944.5</v>
      </c>
      <c r="H687" s="422">
        <f t="shared" si="197"/>
        <v>-2.0659932270083562E-2</v>
      </c>
      <c r="I687" s="423">
        <f t="shared" si="198"/>
        <v>-4682.0899999999965</v>
      </c>
    </row>
    <row r="688" spans="1:9" x14ac:dyDescent="0.2">
      <c r="A688" s="420" t="s">
        <v>409</v>
      </c>
      <c r="B688" s="420" t="s">
        <v>348</v>
      </c>
      <c r="C688" s="420" t="s">
        <v>38</v>
      </c>
      <c r="D688" s="423">
        <v>50074.33</v>
      </c>
      <c r="E688" s="423">
        <v>22449.8</v>
      </c>
      <c r="F688" s="423">
        <v>601287.36</v>
      </c>
      <c r="G688" s="423">
        <f t="shared" si="196"/>
        <v>673811.49</v>
      </c>
      <c r="H688" s="422">
        <f t="shared" si="197"/>
        <v>2.8880745868101774E-2</v>
      </c>
      <c r="I688" s="423">
        <f t="shared" si="198"/>
        <v>18913.929999999935</v>
      </c>
    </row>
    <row r="689" spans="1:9" x14ac:dyDescent="0.2">
      <c r="A689" s="420" t="s">
        <v>409</v>
      </c>
      <c r="B689" s="420" t="s">
        <v>348</v>
      </c>
      <c r="C689" s="420" t="s">
        <v>39</v>
      </c>
      <c r="D689" s="423">
        <v>23896.799999999999</v>
      </c>
      <c r="E689" s="423">
        <v>10400.91</v>
      </c>
      <c r="F689" s="423">
        <v>76616.41</v>
      </c>
      <c r="G689" s="423">
        <f t="shared" si="196"/>
        <v>110914.12</v>
      </c>
      <c r="H689" s="422">
        <f t="shared" si="197"/>
        <v>9.1508534529791852E-2</v>
      </c>
      <c r="I689" s="423">
        <f t="shared" si="198"/>
        <v>9298.679999999993</v>
      </c>
    </row>
    <row r="690" spans="1:9" x14ac:dyDescent="0.2">
      <c r="A690" s="420" t="s">
        <v>409</v>
      </c>
      <c r="B690" s="420" t="s">
        <v>350</v>
      </c>
      <c r="C690" s="420" t="s">
        <v>38</v>
      </c>
      <c r="D690" s="423">
        <v>5896.9</v>
      </c>
      <c r="E690" s="423">
        <v>1765.9</v>
      </c>
      <c r="F690" s="423">
        <v>50420.6</v>
      </c>
      <c r="G690" s="423">
        <f t="shared" si="196"/>
        <v>58083.399999999994</v>
      </c>
      <c r="H690" s="422">
        <f t="shared" si="197"/>
        <v>2.1115890572600032E-2</v>
      </c>
      <c r="I690" s="423">
        <f t="shared" si="198"/>
        <v>1201.1199999999953</v>
      </c>
    </row>
    <row r="691" spans="1:9" x14ac:dyDescent="0.2">
      <c r="A691" s="420" t="s">
        <v>409</v>
      </c>
      <c r="B691" s="420" t="s">
        <v>350</v>
      </c>
      <c r="C691" s="420" t="s">
        <v>39</v>
      </c>
      <c r="D691" s="423">
        <v>0</v>
      </c>
      <c r="E691" s="423">
        <v>0</v>
      </c>
      <c r="F691" s="423">
        <v>0</v>
      </c>
      <c r="G691" s="423">
        <f t="shared" si="196"/>
        <v>0</v>
      </c>
      <c r="H691" s="422">
        <f t="shared" si="197"/>
        <v>0</v>
      </c>
      <c r="I691" s="423">
        <f t="shared" si="198"/>
        <v>0</v>
      </c>
    </row>
    <row r="692" spans="1:9" x14ac:dyDescent="0.2">
      <c r="G692" s="423">
        <f>SUM(G685:G691)</f>
        <v>1105206.02</v>
      </c>
      <c r="H692" s="422">
        <f t="shared" si="197"/>
        <v>-6.9542118174178522E-3</v>
      </c>
      <c r="I692" s="423">
        <f>G692-G682</f>
        <v>-7739.660000000149</v>
      </c>
    </row>
    <row r="694" spans="1:9" ht="15.75" x14ac:dyDescent="0.25">
      <c r="A694" s="426">
        <v>43921</v>
      </c>
      <c r="B694" s="424" t="s">
        <v>343</v>
      </c>
      <c r="C694" s="424" t="s">
        <v>33</v>
      </c>
      <c r="D694" s="424" t="s">
        <v>34</v>
      </c>
      <c r="E694" s="424" t="s">
        <v>35</v>
      </c>
      <c r="F694" s="424" t="s">
        <v>103</v>
      </c>
      <c r="G694" s="425" t="s">
        <v>9</v>
      </c>
    </row>
    <row r="695" spans="1:9" x14ac:dyDescent="0.2">
      <c r="A695" s="420" t="s">
        <v>409</v>
      </c>
      <c r="B695" s="420" t="s">
        <v>21</v>
      </c>
      <c r="C695" s="420" t="s">
        <v>38</v>
      </c>
      <c r="D695" s="423">
        <v>1467.75</v>
      </c>
      <c r="E695" s="423">
        <v>710</v>
      </c>
      <c r="F695" s="423">
        <v>38999.910000000003</v>
      </c>
      <c r="G695" s="423">
        <f>SUM(D695:F695)</f>
        <v>41177.660000000003</v>
      </c>
      <c r="H695" s="422">
        <f>IF(G685&gt;0,(G695-G685)/G685,0)</f>
        <v>1.7925958117308453E-2</v>
      </c>
      <c r="I695" s="423">
        <f>G695-G685</f>
        <v>725.15000000000146</v>
      </c>
    </row>
    <row r="696" spans="1:9" x14ac:dyDescent="0.2">
      <c r="A696" s="420" t="s">
        <v>409</v>
      </c>
      <c r="B696" s="420" t="s">
        <v>351</v>
      </c>
      <c r="C696" s="420" t="s">
        <v>38</v>
      </c>
      <c r="D696" s="423">
        <v>0</v>
      </c>
      <c r="E696" s="423">
        <v>0</v>
      </c>
      <c r="F696" s="423">
        <v>0</v>
      </c>
      <c r="G696" s="423">
        <f t="shared" ref="G696:G701" si="199">SUM(D696:F696)</f>
        <v>0</v>
      </c>
      <c r="H696" s="422">
        <f t="shared" ref="H696:H702" si="200">IF(G686&gt;0,(G696-G686)/G686,0)</f>
        <v>0</v>
      </c>
      <c r="I696" s="423">
        <f t="shared" ref="I696:I701" si="201">G696-G686</f>
        <v>0</v>
      </c>
    </row>
    <row r="697" spans="1:9" x14ac:dyDescent="0.2">
      <c r="A697" s="420" t="s">
        <v>409</v>
      </c>
      <c r="B697" s="420" t="s">
        <v>345</v>
      </c>
      <c r="C697" s="420" t="s">
        <v>38</v>
      </c>
      <c r="D697" s="423">
        <v>3899.21</v>
      </c>
      <c r="E697" s="423">
        <v>9757.73</v>
      </c>
      <c r="F697" s="423">
        <v>205124.92</v>
      </c>
      <c r="G697" s="423">
        <f t="shared" si="199"/>
        <v>218781.86000000002</v>
      </c>
      <c r="H697" s="422">
        <f t="shared" si="200"/>
        <v>-1.4249688548263124E-2</v>
      </c>
      <c r="I697" s="423">
        <f t="shared" si="201"/>
        <v>-3162.6399999999849</v>
      </c>
    </row>
    <row r="698" spans="1:9" x14ac:dyDescent="0.2">
      <c r="A698" s="420" t="s">
        <v>409</v>
      </c>
      <c r="B698" s="420" t="s">
        <v>348</v>
      </c>
      <c r="C698" s="420" t="s">
        <v>38</v>
      </c>
      <c r="D698" s="423">
        <v>38066.28</v>
      </c>
      <c r="E698" s="423">
        <v>40260.9</v>
      </c>
      <c r="F698" s="423">
        <v>597941.47</v>
      </c>
      <c r="G698" s="423">
        <f t="shared" si="199"/>
        <v>676268.64999999991</v>
      </c>
      <c r="H698" s="422">
        <f t="shared" si="200"/>
        <v>3.6466579102115283E-3</v>
      </c>
      <c r="I698" s="423">
        <f t="shared" si="201"/>
        <v>2457.1599999999162</v>
      </c>
    </row>
    <row r="699" spans="1:9" x14ac:dyDescent="0.2">
      <c r="A699" s="420" t="s">
        <v>409</v>
      </c>
      <c r="B699" s="420" t="s">
        <v>348</v>
      </c>
      <c r="C699" s="420" t="s">
        <v>39</v>
      </c>
      <c r="D699" s="423">
        <v>10511.99</v>
      </c>
      <c r="E699" s="423">
        <v>23989.72</v>
      </c>
      <c r="F699" s="423">
        <v>77378.5</v>
      </c>
      <c r="G699" s="423">
        <f t="shared" si="199"/>
        <v>111880.20999999999</v>
      </c>
      <c r="H699" s="422">
        <f t="shared" si="200"/>
        <v>8.7102525810058857E-3</v>
      </c>
      <c r="I699" s="423">
        <f t="shared" si="201"/>
        <v>966.08999999999651</v>
      </c>
    </row>
    <row r="700" spans="1:9" x14ac:dyDescent="0.2">
      <c r="A700" s="420" t="s">
        <v>409</v>
      </c>
      <c r="B700" s="420" t="s">
        <v>350</v>
      </c>
      <c r="C700" s="420" t="s">
        <v>38</v>
      </c>
      <c r="D700" s="423">
        <v>6382.66</v>
      </c>
      <c r="E700" s="423">
        <v>4231.88</v>
      </c>
      <c r="F700" s="423">
        <v>48562.63</v>
      </c>
      <c r="G700" s="423">
        <f t="shared" si="199"/>
        <v>59177.17</v>
      </c>
      <c r="H700" s="422">
        <f t="shared" si="200"/>
        <v>1.8831025731964799E-2</v>
      </c>
      <c r="I700" s="423">
        <f t="shared" si="201"/>
        <v>1093.7700000000041</v>
      </c>
    </row>
    <row r="701" spans="1:9" x14ac:dyDescent="0.2">
      <c r="A701" s="420" t="s">
        <v>409</v>
      </c>
      <c r="B701" s="420" t="s">
        <v>350</v>
      </c>
      <c r="C701" s="420" t="s">
        <v>39</v>
      </c>
      <c r="D701" s="423">
        <v>0</v>
      </c>
      <c r="E701" s="423">
        <v>0</v>
      </c>
      <c r="F701" s="423">
        <v>0</v>
      </c>
      <c r="G701" s="423">
        <f t="shared" si="199"/>
        <v>0</v>
      </c>
      <c r="H701" s="422">
        <f t="shared" si="200"/>
        <v>0</v>
      </c>
      <c r="I701" s="423">
        <f t="shared" si="201"/>
        <v>0</v>
      </c>
    </row>
    <row r="702" spans="1:9" x14ac:dyDescent="0.2">
      <c r="G702" s="423">
        <f>SUM(G695:G701)</f>
        <v>1107285.5499999998</v>
      </c>
      <c r="H702" s="422">
        <f t="shared" si="200"/>
        <v>1.881576794161685E-3</v>
      </c>
      <c r="I702" s="423">
        <f>G702-G692</f>
        <v>2079.5299999997951</v>
      </c>
    </row>
    <row r="704" spans="1:9" ht="15.75" x14ac:dyDescent="0.25">
      <c r="A704" s="426">
        <v>43951</v>
      </c>
      <c r="B704" s="424" t="s">
        <v>343</v>
      </c>
      <c r="C704" s="424" t="s">
        <v>33</v>
      </c>
      <c r="D704" s="424" t="s">
        <v>34</v>
      </c>
      <c r="E704" s="424" t="s">
        <v>35</v>
      </c>
      <c r="F704" s="424" t="s">
        <v>103</v>
      </c>
      <c r="G704" s="425" t="s">
        <v>9</v>
      </c>
    </row>
    <row r="705" spans="1:9" x14ac:dyDescent="0.2">
      <c r="A705" s="420" t="s">
        <v>409</v>
      </c>
      <c r="B705" s="420" t="s">
        <v>21</v>
      </c>
      <c r="C705" s="420" t="s">
        <v>38</v>
      </c>
      <c r="D705" s="423">
        <v>15225.59</v>
      </c>
      <c r="E705" s="423">
        <v>1056.04</v>
      </c>
      <c r="F705" s="423">
        <v>34734.58</v>
      </c>
      <c r="G705" s="423">
        <f>SUM(D705:F705)</f>
        <v>51016.210000000006</v>
      </c>
      <c r="H705" s="422">
        <f>IF(G695&gt;0,(G705-G695)/G695,0)</f>
        <v>0.23892931264185488</v>
      </c>
      <c r="I705" s="423">
        <f>G705-G695</f>
        <v>9838.5500000000029</v>
      </c>
    </row>
    <row r="706" spans="1:9" x14ac:dyDescent="0.2">
      <c r="A706" s="420" t="s">
        <v>409</v>
      </c>
      <c r="B706" s="420" t="s">
        <v>351</v>
      </c>
      <c r="C706" s="420" t="s">
        <v>38</v>
      </c>
      <c r="D706" s="423">
        <v>0</v>
      </c>
      <c r="E706" s="423">
        <v>0</v>
      </c>
      <c r="F706" s="423">
        <v>0</v>
      </c>
      <c r="G706" s="423">
        <f t="shared" ref="G706:G711" si="202">SUM(D706:F706)</f>
        <v>0</v>
      </c>
      <c r="H706" s="422">
        <f t="shared" ref="H706:H712" si="203">IF(G696&gt;0,(G706-G696)/G696,0)</f>
        <v>0</v>
      </c>
      <c r="I706" s="423">
        <f t="shared" ref="I706:I711" si="204">G706-G696</f>
        <v>0</v>
      </c>
    </row>
    <row r="707" spans="1:9" x14ac:dyDescent="0.2">
      <c r="A707" s="420" t="s">
        <v>409</v>
      </c>
      <c r="B707" s="420" t="s">
        <v>345</v>
      </c>
      <c r="C707" s="420" t="s">
        <v>38</v>
      </c>
      <c r="D707" s="423">
        <v>5736.47</v>
      </c>
      <c r="E707" s="423">
        <v>3879.78</v>
      </c>
      <c r="F707" s="423">
        <v>207629.13</v>
      </c>
      <c r="G707" s="423">
        <f t="shared" si="202"/>
        <v>217245.38</v>
      </c>
      <c r="H707" s="422">
        <f t="shared" si="203"/>
        <v>-7.0228857182218418E-3</v>
      </c>
      <c r="I707" s="423">
        <f t="shared" si="204"/>
        <v>-1536.4800000000105</v>
      </c>
    </row>
    <row r="708" spans="1:9" x14ac:dyDescent="0.2">
      <c r="A708" s="420" t="s">
        <v>409</v>
      </c>
      <c r="B708" s="420" t="s">
        <v>348</v>
      </c>
      <c r="C708" s="420" t="s">
        <v>38</v>
      </c>
      <c r="D708" s="423">
        <v>39864.75</v>
      </c>
      <c r="E708" s="423">
        <v>32709.94</v>
      </c>
      <c r="F708" s="423">
        <v>604206.01</v>
      </c>
      <c r="G708" s="423">
        <f t="shared" si="202"/>
        <v>676780.7</v>
      </c>
      <c r="H708" s="422">
        <f t="shared" si="203"/>
        <v>7.5716950652680208E-4</v>
      </c>
      <c r="I708" s="423">
        <f t="shared" si="204"/>
        <v>512.05000000004657</v>
      </c>
    </row>
    <row r="709" spans="1:9" x14ac:dyDescent="0.2">
      <c r="A709" s="420" t="s">
        <v>409</v>
      </c>
      <c r="B709" s="420" t="s">
        <v>348</v>
      </c>
      <c r="C709" s="420" t="s">
        <v>39</v>
      </c>
      <c r="D709" s="423">
        <v>11091.56</v>
      </c>
      <c r="E709" s="423">
        <v>8110.01</v>
      </c>
      <c r="F709" s="423">
        <v>89559.43</v>
      </c>
      <c r="G709" s="423">
        <f t="shared" si="202"/>
        <v>108761</v>
      </c>
      <c r="H709" s="422">
        <f t="shared" si="203"/>
        <v>-2.7879908341251702E-2</v>
      </c>
      <c r="I709" s="423">
        <f t="shared" si="204"/>
        <v>-3119.2099999999919</v>
      </c>
    </row>
    <row r="710" spans="1:9" x14ac:dyDescent="0.2">
      <c r="A710" s="420" t="s">
        <v>409</v>
      </c>
      <c r="B710" s="420" t="s">
        <v>350</v>
      </c>
      <c r="C710" s="420" t="s">
        <v>38</v>
      </c>
      <c r="D710" s="423">
        <v>4474.34</v>
      </c>
      <c r="E710" s="423">
        <v>2457.85</v>
      </c>
      <c r="F710" s="423">
        <v>42651.77</v>
      </c>
      <c r="G710" s="423">
        <f t="shared" si="202"/>
        <v>49583.96</v>
      </c>
      <c r="H710" s="422">
        <f t="shared" si="203"/>
        <v>-0.16210998261660703</v>
      </c>
      <c r="I710" s="423">
        <f t="shared" si="204"/>
        <v>-9593.2099999999991</v>
      </c>
    </row>
    <row r="711" spans="1:9" x14ac:dyDescent="0.2">
      <c r="A711" s="420" t="s">
        <v>409</v>
      </c>
      <c r="B711" s="420" t="s">
        <v>350</v>
      </c>
      <c r="C711" s="420" t="s">
        <v>39</v>
      </c>
      <c r="D711" s="423">
        <v>0</v>
      </c>
      <c r="E711" s="423">
        <v>0</v>
      </c>
      <c r="F711" s="423">
        <v>0</v>
      </c>
      <c r="G711" s="423">
        <f t="shared" si="202"/>
        <v>0</v>
      </c>
      <c r="H711" s="422">
        <f t="shared" si="203"/>
        <v>0</v>
      </c>
      <c r="I711" s="423">
        <f t="shared" si="204"/>
        <v>0</v>
      </c>
    </row>
    <row r="712" spans="1:9" x14ac:dyDescent="0.2">
      <c r="G712" s="423">
        <f>SUM(G705:G711)</f>
        <v>1103387.25</v>
      </c>
      <c r="H712" s="422">
        <f t="shared" si="203"/>
        <v>-3.5205914138406432E-3</v>
      </c>
      <c r="I712" s="423">
        <f>G712-G702</f>
        <v>-3898.2999999998137</v>
      </c>
    </row>
    <row r="714" spans="1:9" ht="15.75" x14ac:dyDescent="0.25">
      <c r="A714" s="426">
        <v>43982</v>
      </c>
      <c r="B714" s="424" t="s">
        <v>343</v>
      </c>
      <c r="C714" s="424" t="s">
        <v>33</v>
      </c>
      <c r="D714" s="424" t="s">
        <v>34</v>
      </c>
      <c r="E714" s="424" t="s">
        <v>35</v>
      </c>
      <c r="F714" s="424" t="s">
        <v>103</v>
      </c>
      <c r="G714" s="425" t="s">
        <v>9</v>
      </c>
    </row>
    <row r="715" spans="1:9" x14ac:dyDescent="0.2">
      <c r="A715" s="420" t="s">
        <v>409</v>
      </c>
      <c r="B715" s="420" t="s">
        <v>21</v>
      </c>
      <c r="C715" s="420" t="s">
        <v>38</v>
      </c>
      <c r="D715" s="423">
        <v>9392.2099999999991</v>
      </c>
      <c r="E715" s="423">
        <v>11742.23</v>
      </c>
      <c r="F715" s="423">
        <v>35480.050000000003</v>
      </c>
      <c r="G715" s="423">
        <f>SUM(D715:F715)</f>
        <v>56614.490000000005</v>
      </c>
      <c r="H715" s="422">
        <f>IF(G705&gt;0,(G715-G705)/G705,0)</f>
        <v>0.10973531746086192</v>
      </c>
      <c r="I715" s="423">
        <f>G715-G705</f>
        <v>5598.2799999999988</v>
      </c>
    </row>
    <row r="716" spans="1:9" x14ac:dyDescent="0.2">
      <c r="A716" s="420" t="s">
        <v>409</v>
      </c>
      <c r="B716" s="420" t="s">
        <v>351</v>
      </c>
      <c r="C716" s="420" t="s">
        <v>38</v>
      </c>
      <c r="D716" s="423">
        <v>0</v>
      </c>
      <c r="E716" s="423">
        <v>0</v>
      </c>
      <c r="F716" s="423">
        <v>0</v>
      </c>
      <c r="G716" s="423">
        <f t="shared" ref="G716:G721" si="205">SUM(D716:F716)</f>
        <v>0</v>
      </c>
      <c r="H716" s="422">
        <f t="shared" ref="H716:H722" si="206">IF(G706&gt;0,(G716-G706)/G706,0)</f>
        <v>0</v>
      </c>
      <c r="I716" s="423">
        <f t="shared" ref="I716:I721" si="207">G716-G706</f>
        <v>0</v>
      </c>
    </row>
    <row r="717" spans="1:9" x14ac:dyDescent="0.2">
      <c r="A717" s="420" t="s">
        <v>409</v>
      </c>
      <c r="B717" s="420" t="s">
        <v>345</v>
      </c>
      <c r="C717" s="420" t="s">
        <v>38</v>
      </c>
      <c r="D717" s="423">
        <v>22510.83</v>
      </c>
      <c r="E717" s="423">
        <v>3747.04</v>
      </c>
      <c r="F717" s="423">
        <v>209856.28</v>
      </c>
      <c r="G717" s="423">
        <f t="shared" si="205"/>
        <v>236114.15</v>
      </c>
      <c r="H717" s="422">
        <f t="shared" si="206"/>
        <v>8.6854643353059979E-2</v>
      </c>
      <c r="I717" s="423">
        <f t="shared" si="207"/>
        <v>18868.76999999999</v>
      </c>
    </row>
    <row r="718" spans="1:9" x14ac:dyDescent="0.2">
      <c r="A718" s="420" t="s">
        <v>409</v>
      </c>
      <c r="B718" s="420" t="s">
        <v>348</v>
      </c>
      <c r="C718" s="420" t="s">
        <v>38</v>
      </c>
      <c r="D718" s="423">
        <v>73550.22</v>
      </c>
      <c r="E718" s="423">
        <v>30925.87</v>
      </c>
      <c r="F718" s="423">
        <v>609836.18999999994</v>
      </c>
      <c r="G718" s="423">
        <f t="shared" si="205"/>
        <v>714312.27999999991</v>
      </c>
      <c r="H718" s="422">
        <f t="shared" si="206"/>
        <v>5.5456043589895455E-2</v>
      </c>
      <c r="I718" s="423">
        <f t="shared" si="207"/>
        <v>37531.579999999958</v>
      </c>
    </row>
    <row r="719" spans="1:9" x14ac:dyDescent="0.2">
      <c r="A719" s="420" t="s">
        <v>409</v>
      </c>
      <c r="B719" s="420" t="s">
        <v>348</v>
      </c>
      <c r="C719" s="420" t="s">
        <v>39</v>
      </c>
      <c r="D719" s="423">
        <v>29673.57</v>
      </c>
      <c r="E719" s="423">
        <v>8486.41</v>
      </c>
      <c r="F719" s="423">
        <v>78425.19</v>
      </c>
      <c r="G719" s="423">
        <f t="shared" si="205"/>
        <v>116585.17</v>
      </c>
      <c r="H719" s="422">
        <f t="shared" si="206"/>
        <v>7.1939114204540217E-2</v>
      </c>
      <c r="I719" s="423">
        <f t="shared" si="207"/>
        <v>7824.1699999999983</v>
      </c>
    </row>
    <row r="720" spans="1:9" x14ac:dyDescent="0.2">
      <c r="A720" s="420" t="s">
        <v>409</v>
      </c>
      <c r="B720" s="420" t="s">
        <v>350</v>
      </c>
      <c r="C720" s="420" t="s">
        <v>38</v>
      </c>
      <c r="D720" s="423">
        <v>12721.76</v>
      </c>
      <c r="E720" s="423">
        <v>930.9</v>
      </c>
      <c r="F720" s="423">
        <v>43102.2</v>
      </c>
      <c r="G720" s="423">
        <f t="shared" si="205"/>
        <v>56754.86</v>
      </c>
      <c r="H720" s="422">
        <f t="shared" si="206"/>
        <v>0.14462136545770046</v>
      </c>
      <c r="I720" s="423">
        <f t="shared" si="207"/>
        <v>7170.9000000000015</v>
      </c>
    </row>
    <row r="721" spans="1:19" x14ac:dyDescent="0.2">
      <c r="A721" s="420" t="s">
        <v>409</v>
      </c>
      <c r="B721" s="420" t="s">
        <v>350</v>
      </c>
      <c r="C721" s="420" t="s">
        <v>39</v>
      </c>
      <c r="D721" s="423">
        <v>0</v>
      </c>
      <c r="E721" s="423">
        <v>0</v>
      </c>
      <c r="F721" s="423">
        <v>0</v>
      </c>
      <c r="G721" s="423">
        <f t="shared" si="205"/>
        <v>0</v>
      </c>
      <c r="H721" s="422">
        <f t="shared" si="206"/>
        <v>0</v>
      </c>
      <c r="I721" s="423">
        <f t="shared" si="207"/>
        <v>0</v>
      </c>
    </row>
    <row r="722" spans="1:19" x14ac:dyDescent="0.2">
      <c r="G722" s="423">
        <f>SUM(G715:G721)</f>
        <v>1180380.95</v>
      </c>
      <c r="H722" s="422">
        <f t="shared" si="206"/>
        <v>6.9779399752897223E-2</v>
      </c>
      <c r="I722" s="423">
        <f>G722-G712</f>
        <v>76993.699999999953</v>
      </c>
    </row>
    <row r="724" spans="1:19" ht="15.75" x14ac:dyDescent="0.25">
      <c r="A724" s="426">
        <v>44012</v>
      </c>
      <c r="B724" s="424" t="s">
        <v>343</v>
      </c>
      <c r="C724" s="424" t="s">
        <v>33</v>
      </c>
      <c r="D724" s="424" t="s">
        <v>34</v>
      </c>
      <c r="E724" s="424" t="s">
        <v>35</v>
      </c>
      <c r="F724" s="424" t="s">
        <v>103</v>
      </c>
      <c r="G724" s="425" t="s">
        <v>9</v>
      </c>
    </row>
    <row r="725" spans="1:19" x14ac:dyDescent="0.2">
      <c r="A725" s="420" t="s">
        <v>409</v>
      </c>
      <c r="B725" s="420" t="s">
        <v>21</v>
      </c>
      <c r="C725" s="420" t="s">
        <v>38</v>
      </c>
      <c r="D725" s="423">
        <v>26148.39</v>
      </c>
      <c r="E725" s="423">
        <v>8696.3700000000008</v>
      </c>
      <c r="F725" s="423">
        <v>10128.530000000001</v>
      </c>
      <c r="G725" s="423">
        <f>SUM(D725:F725)</f>
        <v>44973.29</v>
      </c>
      <c r="H725" s="422">
        <f>IF(G715&gt;0,(G725-G715)/G715,0)</f>
        <v>-0.2056222709062645</v>
      </c>
      <c r="I725" s="423">
        <f>G725-G715</f>
        <v>-11641.200000000004</v>
      </c>
    </row>
    <row r="726" spans="1:19" x14ac:dyDescent="0.2">
      <c r="A726" s="420" t="s">
        <v>409</v>
      </c>
      <c r="B726" s="420" t="s">
        <v>351</v>
      </c>
      <c r="C726" s="420" t="s">
        <v>38</v>
      </c>
      <c r="D726" s="423">
        <v>0</v>
      </c>
      <c r="E726" s="423">
        <v>0</v>
      </c>
      <c r="F726" s="423">
        <v>0</v>
      </c>
      <c r="G726" s="423">
        <f t="shared" ref="G726:G731" si="208">SUM(D726:F726)</f>
        <v>0</v>
      </c>
      <c r="H726" s="422">
        <f t="shared" ref="H726:H732" si="209">IF(G716&gt;0,(G726-G716)/G716,0)</f>
        <v>0</v>
      </c>
      <c r="I726" s="423">
        <f t="shared" ref="I726:I731" si="210">G726-G716</f>
        <v>0</v>
      </c>
      <c r="N726" s="434"/>
      <c r="O726" s="434"/>
      <c r="P726" s="434"/>
      <c r="Q726" s="434"/>
      <c r="R726" s="434"/>
      <c r="S726" s="434"/>
    </row>
    <row r="727" spans="1:19" x14ac:dyDescent="0.2">
      <c r="A727" s="420" t="s">
        <v>409</v>
      </c>
      <c r="B727" s="420" t="s">
        <v>345</v>
      </c>
      <c r="C727" s="420" t="s">
        <v>38</v>
      </c>
      <c r="D727" s="423">
        <v>20177.099999999999</v>
      </c>
      <c r="E727" s="423">
        <v>18072.509999999998</v>
      </c>
      <c r="F727" s="423">
        <v>209745.18</v>
      </c>
      <c r="G727" s="423">
        <f t="shared" si="208"/>
        <v>247994.78999999998</v>
      </c>
      <c r="H727" s="422">
        <f t="shared" si="209"/>
        <v>5.0317357091898073E-2</v>
      </c>
      <c r="I727" s="423">
        <f t="shared" si="210"/>
        <v>11880.639999999985</v>
      </c>
    </row>
    <row r="728" spans="1:19" x14ac:dyDescent="0.2">
      <c r="A728" s="420" t="s">
        <v>409</v>
      </c>
      <c r="B728" s="420" t="s">
        <v>348</v>
      </c>
      <c r="C728" s="420" t="s">
        <v>38</v>
      </c>
      <c r="D728" s="423">
        <v>69973.84</v>
      </c>
      <c r="E728" s="423">
        <v>47773.88</v>
      </c>
      <c r="F728" s="423">
        <v>599776.64</v>
      </c>
      <c r="G728" s="423">
        <f t="shared" si="208"/>
        <v>717524.36</v>
      </c>
      <c r="H728" s="422">
        <f t="shared" si="209"/>
        <v>4.4967447570690997E-3</v>
      </c>
      <c r="I728" s="423">
        <f t="shared" si="210"/>
        <v>3212.0800000000745</v>
      </c>
    </row>
    <row r="729" spans="1:19" x14ac:dyDescent="0.2">
      <c r="A729" s="420" t="s">
        <v>409</v>
      </c>
      <c r="B729" s="420" t="s">
        <v>348</v>
      </c>
      <c r="C729" s="420" t="s">
        <v>39</v>
      </c>
      <c r="D729" s="423">
        <v>15374.21</v>
      </c>
      <c r="E729" s="423">
        <v>24696.34</v>
      </c>
      <c r="F729" s="423">
        <v>73378.41</v>
      </c>
      <c r="G729" s="423">
        <f t="shared" si="208"/>
        <v>113448.96000000001</v>
      </c>
      <c r="H729" s="422">
        <f t="shared" si="209"/>
        <v>-2.6900591215846679E-2</v>
      </c>
      <c r="I729" s="423">
        <f t="shared" si="210"/>
        <v>-3136.2099999999919</v>
      </c>
    </row>
    <row r="730" spans="1:19" x14ac:dyDescent="0.2">
      <c r="A730" s="420" t="s">
        <v>409</v>
      </c>
      <c r="B730" s="420" t="s">
        <v>350</v>
      </c>
      <c r="C730" s="420" t="s">
        <v>38</v>
      </c>
      <c r="D730" s="423">
        <v>4041.15</v>
      </c>
      <c r="E730" s="423">
        <v>11200.01</v>
      </c>
      <c r="F730" s="423">
        <v>41788.49</v>
      </c>
      <c r="G730" s="423">
        <f t="shared" si="208"/>
        <v>57029.649999999994</v>
      </c>
      <c r="H730" s="422">
        <f t="shared" si="209"/>
        <v>4.8416999002375057E-3</v>
      </c>
      <c r="I730" s="423">
        <f t="shared" si="210"/>
        <v>274.7899999999936</v>
      </c>
    </row>
    <row r="731" spans="1:19" x14ac:dyDescent="0.2">
      <c r="A731" s="420" t="s">
        <v>409</v>
      </c>
      <c r="B731" s="420" t="s">
        <v>350</v>
      </c>
      <c r="C731" s="420" t="s">
        <v>39</v>
      </c>
      <c r="D731" s="423">
        <v>0</v>
      </c>
      <c r="E731" s="423">
        <v>0</v>
      </c>
      <c r="F731" s="423">
        <v>0</v>
      </c>
      <c r="G731" s="423">
        <f t="shared" si="208"/>
        <v>0</v>
      </c>
      <c r="H731" s="422">
        <f t="shared" si="209"/>
        <v>0</v>
      </c>
      <c r="I731" s="423">
        <f t="shared" si="210"/>
        <v>0</v>
      </c>
    </row>
    <row r="732" spans="1:19" x14ac:dyDescent="0.2">
      <c r="G732" s="423">
        <f>SUM(G725:G731)</f>
        <v>1180971.0499999998</v>
      </c>
      <c r="H732" s="422">
        <f t="shared" si="209"/>
        <v>4.9992335101634803E-4</v>
      </c>
      <c r="I732" s="423">
        <f>G732-G722</f>
        <v>590.0999999998603</v>
      </c>
    </row>
    <row r="734" spans="1:19" ht="15.75" x14ac:dyDescent="0.25">
      <c r="A734" s="426">
        <v>44043</v>
      </c>
      <c r="B734" s="424" t="s">
        <v>343</v>
      </c>
      <c r="C734" s="424" t="s">
        <v>33</v>
      </c>
      <c r="D734" s="424" t="s">
        <v>34</v>
      </c>
      <c r="E734" s="424" t="s">
        <v>35</v>
      </c>
      <c r="F734" s="424" t="s">
        <v>103</v>
      </c>
      <c r="G734" s="425" t="s">
        <v>9</v>
      </c>
    </row>
    <row r="735" spans="1:19" x14ac:dyDescent="0.2">
      <c r="A735" s="420" t="s">
        <v>413</v>
      </c>
      <c r="B735" s="420" t="s">
        <v>21</v>
      </c>
      <c r="C735" s="420" t="s">
        <v>38</v>
      </c>
      <c r="D735" s="423">
        <v>6916.53</v>
      </c>
      <c r="E735" s="423">
        <v>24121.29</v>
      </c>
      <c r="F735" s="423">
        <v>17455.91</v>
      </c>
      <c r="G735" s="423">
        <f>SUM(D735:F735)</f>
        <v>48493.729999999996</v>
      </c>
      <c r="H735" s="422">
        <f>IF(G725&gt;0,(G735-G725)/G725,0)</f>
        <v>7.8278462616366187E-2</v>
      </c>
      <c r="I735" s="423">
        <f>G735-G725</f>
        <v>3520.4399999999951</v>
      </c>
    </row>
    <row r="736" spans="1:19" x14ac:dyDescent="0.2">
      <c r="A736" s="420" t="s">
        <v>413</v>
      </c>
      <c r="B736" s="420" t="s">
        <v>351</v>
      </c>
      <c r="C736" s="420" t="s">
        <v>38</v>
      </c>
      <c r="D736" s="423">
        <v>0</v>
      </c>
      <c r="E736" s="423">
        <v>0</v>
      </c>
      <c r="F736" s="423">
        <v>0</v>
      </c>
      <c r="G736" s="423">
        <f t="shared" ref="G736:G741" si="211">SUM(D736:F736)</f>
        <v>0</v>
      </c>
      <c r="H736" s="422">
        <f t="shared" ref="H736:H742" si="212">IF(G726&gt;0,(G736-G726)/G726,0)</f>
        <v>0</v>
      </c>
      <c r="I736" s="423">
        <f t="shared" ref="I736:I741" si="213">G736-G726</f>
        <v>0</v>
      </c>
    </row>
    <row r="737" spans="1:9" x14ac:dyDescent="0.2">
      <c r="A737" s="420" t="s">
        <v>413</v>
      </c>
      <c r="B737" s="420" t="s">
        <v>345</v>
      </c>
      <c r="C737" s="420" t="s">
        <v>38</v>
      </c>
      <c r="D737" s="423">
        <v>14135.7</v>
      </c>
      <c r="E737" s="423">
        <v>11341.79</v>
      </c>
      <c r="F737" s="423">
        <v>225518.62</v>
      </c>
      <c r="G737" s="423">
        <f t="shared" si="211"/>
        <v>250996.11</v>
      </c>
      <c r="H737" s="422">
        <f t="shared" si="212"/>
        <v>1.2102351021164626E-2</v>
      </c>
      <c r="I737" s="423">
        <f t="shared" si="213"/>
        <v>3001.320000000007</v>
      </c>
    </row>
    <row r="738" spans="1:9" x14ac:dyDescent="0.2">
      <c r="A738" s="420" t="s">
        <v>413</v>
      </c>
      <c r="B738" s="420" t="s">
        <v>348</v>
      </c>
      <c r="C738" s="420" t="s">
        <v>38</v>
      </c>
      <c r="D738" s="423">
        <v>7364.34</v>
      </c>
      <c r="E738" s="423">
        <v>35977.58</v>
      </c>
      <c r="F738" s="423">
        <v>611100.87</v>
      </c>
      <c r="G738" s="423">
        <f t="shared" si="211"/>
        <v>654442.79</v>
      </c>
      <c r="H738" s="422">
        <f t="shared" si="212"/>
        <v>-8.791557961878807E-2</v>
      </c>
      <c r="I738" s="423">
        <f t="shared" si="213"/>
        <v>-63081.569999999949</v>
      </c>
    </row>
    <row r="739" spans="1:9" x14ac:dyDescent="0.2">
      <c r="A739" s="420" t="s">
        <v>413</v>
      </c>
      <c r="B739" s="420" t="s">
        <v>348</v>
      </c>
      <c r="C739" s="420" t="s">
        <v>39</v>
      </c>
      <c r="D739" s="423">
        <v>395.96</v>
      </c>
      <c r="E739" s="423">
        <v>9180.6299999999992</v>
      </c>
      <c r="F739" s="423">
        <v>85582.25</v>
      </c>
      <c r="G739" s="423">
        <f t="shared" si="211"/>
        <v>95158.84</v>
      </c>
      <c r="H739" s="422">
        <f t="shared" si="212"/>
        <v>-0.16121893052170783</v>
      </c>
      <c r="I739" s="423">
        <f t="shared" si="213"/>
        <v>-18290.12000000001</v>
      </c>
    </row>
    <row r="740" spans="1:9" x14ac:dyDescent="0.2">
      <c r="A740" s="420" t="s">
        <v>413</v>
      </c>
      <c r="B740" s="420" t="s">
        <v>350</v>
      </c>
      <c r="C740" s="420" t="s">
        <v>38</v>
      </c>
      <c r="D740" s="423">
        <v>2123.56</v>
      </c>
      <c r="E740" s="423">
        <v>3489.19</v>
      </c>
      <c r="F740" s="423">
        <v>45662.400000000001</v>
      </c>
      <c r="G740" s="423">
        <f t="shared" si="211"/>
        <v>51275.15</v>
      </c>
      <c r="H740" s="422">
        <f t="shared" si="212"/>
        <v>-0.10090365274905234</v>
      </c>
      <c r="I740" s="423">
        <f t="shared" si="213"/>
        <v>-5754.4999999999927</v>
      </c>
    </row>
    <row r="741" spans="1:9" x14ac:dyDescent="0.2">
      <c r="A741" s="420" t="s">
        <v>413</v>
      </c>
      <c r="B741" s="420" t="s">
        <v>350</v>
      </c>
      <c r="C741" s="420" t="s">
        <v>39</v>
      </c>
      <c r="D741" s="423">
        <v>0</v>
      </c>
      <c r="E741" s="423">
        <v>0</v>
      </c>
      <c r="F741" s="423">
        <v>0</v>
      </c>
      <c r="G741" s="423">
        <f t="shared" si="211"/>
        <v>0</v>
      </c>
      <c r="H741" s="422">
        <f t="shared" si="212"/>
        <v>0</v>
      </c>
      <c r="I741" s="423">
        <f t="shared" si="213"/>
        <v>0</v>
      </c>
    </row>
    <row r="742" spans="1:9" x14ac:dyDescent="0.2">
      <c r="G742" s="423">
        <f>SUM(G735:G741)</f>
        <v>1100366.6199999999</v>
      </c>
      <c r="H742" s="422">
        <f t="shared" si="212"/>
        <v>-6.8252672239509982E-2</v>
      </c>
      <c r="I742" s="423">
        <f>G742-G732</f>
        <v>-80604.429999999935</v>
      </c>
    </row>
    <row r="744" spans="1:9" ht="15.75" x14ac:dyDescent="0.25">
      <c r="A744" s="426">
        <v>44074</v>
      </c>
      <c r="B744" s="424" t="s">
        <v>343</v>
      </c>
      <c r="C744" s="424" t="s">
        <v>33</v>
      </c>
      <c r="D744" s="424" t="s">
        <v>34</v>
      </c>
      <c r="E744" s="424" t="s">
        <v>35</v>
      </c>
      <c r="F744" s="424" t="s">
        <v>103</v>
      </c>
      <c r="G744" s="425" t="s">
        <v>9</v>
      </c>
    </row>
    <row r="745" spans="1:9" x14ac:dyDescent="0.2">
      <c r="A745" s="420" t="s">
        <v>413</v>
      </c>
      <c r="B745" s="420" t="s">
        <v>21</v>
      </c>
      <c r="C745" s="420" t="s">
        <v>38</v>
      </c>
      <c r="D745" s="423">
        <v>23152.58</v>
      </c>
      <c r="E745" s="423">
        <v>2533.37</v>
      </c>
      <c r="F745" s="423">
        <v>29666.62</v>
      </c>
      <c r="G745" s="423">
        <f>SUM(D745:F745)</f>
        <v>55352.57</v>
      </c>
      <c r="H745" s="422">
        <f>IF(G735&gt;0,(G745-G735)/G735,0)</f>
        <v>0.1414376662714954</v>
      </c>
      <c r="I745" s="423">
        <f>G745-G735</f>
        <v>6858.8400000000038</v>
      </c>
    </row>
    <row r="746" spans="1:9" x14ac:dyDescent="0.2">
      <c r="A746" s="420" t="s">
        <v>413</v>
      </c>
      <c r="B746" s="420" t="s">
        <v>351</v>
      </c>
      <c r="C746" s="420" t="s">
        <v>38</v>
      </c>
      <c r="D746" s="423">
        <v>0</v>
      </c>
      <c r="E746" s="423">
        <v>0</v>
      </c>
      <c r="F746" s="423">
        <v>0</v>
      </c>
      <c r="G746" s="423">
        <f t="shared" ref="G746:G751" si="214">SUM(D746:F746)</f>
        <v>0</v>
      </c>
      <c r="H746" s="422">
        <f t="shared" ref="H746:H752" si="215">IF(G736&gt;0,(G746-G736)/G736,0)</f>
        <v>0</v>
      </c>
      <c r="I746" s="423">
        <f t="shared" ref="I746:I751" si="216">G746-G736</f>
        <v>0</v>
      </c>
    </row>
    <row r="747" spans="1:9" x14ac:dyDescent="0.2">
      <c r="A747" s="420" t="s">
        <v>413</v>
      </c>
      <c r="B747" s="420" t="s">
        <v>345</v>
      </c>
      <c r="C747" s="420" t="s">
        <v>38</v>
      </c>
      <c r="D747" s="423">
        <v>25175.53</v>
      </c>
      <c r="E747" s="423">
        <v>11934.66</v>
      </c>
      <c r="F747" s="423">
        <v>233946.7</v>
      </c>
      <c r="G747" s="423">
        <f t="shared" si="214"/>
        <v>271056.89</v>
      </c>
      <c r="H747" s="422">
        <f t="shared" si="215"/>
        <v>7.9924664967915351E-2</v>
      </c>
      <c r="I747" s="423">
        <f t="shared" si="216"/>
        <v>20060.780000000028</v>
      </c>
    </row>
    <row r="748" spans="1:9" x14ac:dyDescent="0.2">
      <c r="A748" s="420" t="s">
        <v>413</v>
      </c>
      <c r="B748" s="420" t="s">
        <v>348</v>
      </c>
      <c r="C748" s="420" t="s">
        <v>38</v>
      </c>
      <c r="D748" s="423">
        <v>75976.259999999995</v>
      </c>
      <c r="E748" s="423">
        <v>6461.69</v>
      </c>
      <c r="F748" s="423">
        <v>616771.18999999994</v>
      </c>
      <c r="G748" s="423">
        <f t="shared" si="214"/>
        <v>699209.1399999999</v>
      </c>
      <c r="H748" s="422">
        <f t="shared" si="215"/>
        <v>6.8403763757562144E-2</v>
      </c>
      <c r="I748" s="423">
        <f t="shared" si="216"/>
        <v>44766.34999999986</v>
      </c>
    </row>
    <row r="749" spans="1:9" x14ac:dyDescent="0.2">
      <c r="A749" s="420" t="s">
        <v>413</v>
      </c>
      <c r="B749" s="420" t="s">
        <v>348</v>
      </c>
      <c r="C749" s="420" t="s">
        <v>39</v>
      </c>
      <c r="D749" s="423">
        <v>28245.040000000001</v>
      </c>
      <c r="E749" s="423">
        <v>310.42</v>
      </c>
      <c r="F749" s="423">
        <v>82610.17</v>
      </c>
      <c r="G749" s="423">
        <f t="shared" si="214"/>
        <v>111165.63</v>
      </c>
      <c r="H749" s="422">
        <f t="shared" si="215"/>
        <v>0.16821127706054434</v>
      </c>
      <c r="I749" s="423">
        <f t="shared" si="216"/>
        <v>16006.790000000008</v>
      </c>
    </row>
    <row r="750" spans="1:9" x14ac:dyDescent="0.2">
      <c r="A750" s="420" t="s">
        <v>413</v>
      </c>
      <c r="B750" s="420" t="s">
        <v>350</v>
      </c>
      <c r="C750" s="420" t="s">
        <v>38</v>
      </c>
      <c r="D750" s="423">
        <v>16188.04</v>
      </c>
      <c r="E750" s="423">
        <v>1778.82</v>
      </c>
      <c r="F750" s="423">
        <v>46366.080000000002</v>
      </c>
      <c r="G750" s="423">
        <f t="shared" si="214"/>
        <v>64332.94</v>
      </c>
      <c r="H750" s="422">
        <f t="shared" si="215"/>
        <v>0.25466117602776395</v>
      </c>
      <c r="I750" s="423">
        <f t="shared" si="216"/>
        <v>13057.79</v>
      </c>
    </row>
    <row r="751" spans="1:9" x14ac:dyDescent="0.2">
      <c r="A751" s="420" t="s">
        <v>413</v>
      </c>
      <c r="B751" s="420" t="s">
        <v>350</v>
      </c>
      <c r="C751" s="420" t="s">
        <v>39</v>
      </c>
      <c r="D751" s="423">
        <v>0</v>
      </c>
      <c r="E751" s="423">
        <v>0</v>
      </c>
      <c r="F751" s="423">
        <v>0</v>
      </c>
      <c r="G751" s="423">
        <f t="shared" si="214"/>
        <v>0</v>
      </c>
      <c r="H751" s="422">
        <f t="shared" si="215"/>
        <v>0</v>
      </c>
      <c r="I751" s="423">
        <f t="shared" si="216"/>
        <v>0</v>
      </c>
    </row>
    <row r="752" spans="1:9" x14ac:dyDescent="0.2">
      <c r="G752" s="423">
        <f>SUM(G745:G751)</f>
        <v>1201117.17</v>
      </c>
      <c r="H752" s="422">
        <f t="shared" si="215"/>
        <v>9.1560892677751402E-2</v>
      </c>
      <c r="I752" s="423">
        <f>G752-G742</f>
        <v>100750.55000000005</v>
      </c>
    </row>
    <row r="754" spans="1:9" ht="15.75" x14ac:dyDescent="0.25">
      <c r="A754" s="426">
        <v>44104</v>
      </c>
      <c r="B754" s="424" t="s">
        <v>343</v>
      </c>
      <c r="C754" s="424" t="s">
        <v>33</v>
      </c>
      <c r="D754" s="424" t="s">
        <v>34</v>
      </c>
      <c r="E754" s="424" t="s">
        <v>35</v>
      </c>
      <c r="F754" s="424" t="s">
        <v>103</v>
      </c>
      <c r="G754" s="425" t="s">
        <v>9</v>
      </c>
    </row>
    <row r="755" spans="1:9" x14ac:dyDescent="0.2">
      <c r="A755" s="420" t="s">
        <v>413</v>
      </c>
      <c r="B755" s="420" t="s">
        <v>21</v>
      </c>
      <c r="C755" s="420" t="s">
        <v>38</v>
      </c>
      <c r="D755" s="423">
        <v>1101.3499999999999</v>
      </c>
      <c r="E755" s="423">
        <v>464.94</v>
      </c>
      <c r="F755" s="423">
        <v>19370.16</v>
      </c>
      <c r="G755" s="423">
        <f>SUM(D755:F755)</f>
        <v>20936.45</v>
      </c>
      <c r="H755" s="422">
        <f>IF(G745&gt;0,(G755-G745)/G745,0)</f>
        <v>-0.62176191638437017</v>
      </c>
      <c r="I755" s="423">
        <f>G755-G745</f>
        <v>-34416.119999999995</v>
      </c>
    </row>
    <row r="756" spans="1:9" x14ac:dyDescent="0.2">
      <c r="A756" s="420" t="s">
        <v>413</v>
      </c>
      <c r="B756" s="420" t="s">
        <v>351</v>
      </c>
      <c r="C756" s="420" t="s">
        <v>38</v>
      </c>
      <c r="D756" s="423">
        <v>0</v>
      </c>
      <c r="E756" s="423">
        <v>0</v>
      </c>
      <c r="F756" s="423">
        <v>0</v>
      </c>
      <c r="G756" s="423">
        <f t="shared" ref="G756:G761" si="217">SUM(D756:F756)</f>
        <v>0</v>
      </c>
      <c r="H756" s="422">
        <f t="shared" ref="H756:H762" si="218">IF(G746&gt;0,(G756-G746)/G746,0)</f>
        <v>0</v>
      </c>
      <c r="I756" s="423">
        <f t="shared" ref="I756:I761" si="219">G756-G746</f>
        <v>0</v>
      </c>
    </row>
    <row r="757" spans="1:9" x14ac:dyDescent="0.2">
      <c r="A757" s="420" t="s">
        <v>413</v>
      </c>
      <c r="B757" s="420" t="s">
        <v>345</v>
      </c>
      <c r="C757" s="420" t="s">
        <v>38</v>
      </c>
      <c r="D757" s="423">
        <v>25744.87</v>
      </c>
      <c r="E757" s="423">
        <v>21677.08</v>
      </c>
      <c r="F757" s="423">
        <v>238344.51</v>
      </c>
      <c r="G757" s="423">
        <f t="shared" si="217"/>
        <v>285766.46000000002</v>
      </c>
      <c r="H757" s="422">
        <f t="shared" si="218"/>
        <v>5.4267463926115311E-2</v>
      </c>
      <c r="I757" s="423">
        <f t="shared" si="219"/>
        <v>14709.570000000007</v>
      </c>
    </row>
    <row r="758" spans="1:9" x14ac:dyDescent="0.2">
      <c r="A758" s="420" t="s">
        <v>413</v>
      </c>
      <c r="B758" s="420" t="s">
        <v>348</v>
      </c>
      <c r="C758" s="420" t="s">
        <v>38</v>
      </c>
      <c r="D758" s="423">
        <v>46333.32</v>
      </c>
      <c r="E758" s="423">
        <v>57890.559999999998</v>
      </c>
      <c r="F758" s="423">
        <v>593573.86</v>
      </c>
      <c r="G758" s="423">
        <f t="shared" si="217"/>
        <v>697797.74</v>
      </c>
      <c r="H758" s="422">
        <f t="shared" si="218"/>
        <v>-2.0185662904805665E-3</v>
      </c>
      <c r="I758" s="423">
        <f t="shared" si="219"/>
        <v>-1411.3999999999069</v>
      </c>
    </row>
    <row r="759" spans="1:9" x14ac:dyDescent="0.2">
      <c r="A759" s="420" t="s">
        <v>413</v>
      </c>
      <c r="B759" s="420" t="s">
        <v>348</v>
      </c>
      <c r="C759" s="420" t="s">
        <v>39</v>
      </c>
      <c r="D759" s="423">
        <v>17223.23</v>
      </c>
      <c r="E759" s="423">
        <v>23788.720000000001</v>
      </c>
      <c r="F759" s="423">
        <v>73968.72</v>
      </c>
      <c r="G759" s="423">
        <f t="shared" si="217"/>
        <v>114980.67</v>
      </c>
      <c r="H759" s="422">
        <f t="shared" si="218"/>
        <v>3.4318520931334563E-2</v>
      </c>
      <c r="I759" s="423">
        <f t="shared" si="219"/>
        <v>3815.0399999999936</v>
      </c>
    </row>
    <row r="760" spans="1:9" x14ac:dyDescent="0.2">
      <c r="A760" s="420" t="s">
        <v>413</v>
      </c>
      <c r="B760" s="420" t="s">
        <v>350</v>
      </c>
      <c r="C760" s="420" t="s">
        <v>38</v>
      </c>
      <c r="D760" s="423">
        <v>2498.27</v>
      </c>
      <c r="E760" s="423">
        <v>12937.72</v>
      </c>
      <c r="F760" s="423">
        <v>46189.66</v>
      </c>
      <c r="G760" s="423">
        <f t="shared" si="217"/>
        <v>61625.65</v>
      </c>
      <c r="H760" s="422">
        <f t="shared" si="218"/>
        <v>-4.2082485271153484E-2</v>
      </c>
      <c r="I760" s="423">
        <f t="shared" si="219"/>
        <v>-2707.2900000000009</v>
      </c>
    </row>
    <row r="761" spans="1:9" x14ac:dyDescent="0.2">
      <c r="A761" s="420" t="s">
        <v>413</v>
      </c>
      <c r="B761" s="420" t="s">
        <v>350</v>
      </c>
      <c r="C761" s="420" t="s">
        <v>39</v>
      </c>
      <c r="D761" s="423">
        <v>0</v>
      </c>
      <c r="E761" s="423">
        <v>0</v>
      </c>
      <c r="F761" s="423">
        <v>0</v>
      </c>
      <c r="G761" s="423">
        <f t="shared" si="217"/>
        <v>0</v>
      </c>
      <c r="H761" s="422">
        <f t="shared" si="218"/>
        <v>0</v>
      </c>
      <c r="I761" s="423">
        <f t="shared" si="219"/>
        <v>0</v>
      </c>
    </row>
    <row r="762" spans="1:9" x14ac:dyDescent="0.2">
      <c r="G762" s="423">
        <f>SUM(G755:G761)</f>
        <v>1181106.97</v>
      </c>
      <c r="H762" s="422">
        <f t="shared" si="218"/>
        <v>-1.6659656942544544E-2</v>
      </c>
      <c r="I762" s="423">
        <f>G762-G752</f>
        <v>-20010.199999999953</v>
      </c>
    </row>
    <row r="764" spans="1:9" ht="15.75" x14ac:dyDescent="0.25">
      <c r="A764" s="426">
        <v>44135</v>
      </c>
      <c r="B764" s="424" t="s">
        <v>343</v>
      </c>
      <c r="C764" s="424" t="s">
        <v>33</v>
      </c>
      <c r="D764" s="424" t="s">
        <v>34</v>
      </c>
      <c r="E764" s="424" t="s">
        <v>35</v>
      </c>
      <c r="F764" s="424" t="s">
        <v>103</v>
      </c>
      <c r="G764" s="425" t="s">
        <v>9</v>
      </c>
    </row>
    <row r="765" spans="1:9" x14ac:dyDescent="0.2">
      <c r="A765" s="420" t="s">
        <v>413</v>
      </c>
      <c r="B765" s="420" t="s">
        <v>21</v>
      </c>
      <c r="C765" s="420" t="s">
        <v>38</v>
      </c>
      <c r="D765" s="423">
        <v>7119.09</v>
      </c>
      <c r="E765" s="423">
        <v>209.27</v>
      </c>
      <c r="F765" s="423">
        <v>17504.849999999999</v>
      </c>
      <c r="G765" s="423">
        <f>SUM(D765:F765)</f>
        <v>24833.21</v>
      </c>
      <c r="H765" s="422">
        <f t="shared" ref="H765:H772" si="220">IF(G755&gt;0,(G765-G755)/G755,0)</f>
        <v>0.18612324438956931</v>
      </c>
      <c r="I765" s="423">
        <f>G765-G755</f>
        <v>3896.7599999999984</v>
      </c>
    </row>
    <row r="766" spans="1:9" x14ac:dyDescent="0.2">
      <c r="A766" s="420" t="s">
        <v>413</v>
      </c>
      <c r="B766" s="420" t="s">
        <v>351</v>
      </c>
      <c r="C766" s="420" t="s">
        <v>38</v>
      </c>
      <c r="D766" s="423">
        <v>0</v>
      </c>
      <c r="E766" s="423">
        <v>0</v>
      </c>
      <c r="F766" s="423">
        <v>0</v>
      </c>
      <c r="G766" s="423">
        <f t="shared" ref="G766:G771" si="221">SUM(D766:F766)</f>
        <v>0</v>
      </c>
      <c r="H766" s="422">
        <f t="shared" si="220"/>
        <v>0</v>
      </c>
      <c r="I766" s="423">
        <f t="shared" ref="I766:I772" si="222">G766-G756</f>
        <v>0</v>
      </c>
    </row>
    <row r="767" spans="1:9" x14ac:dyDescent="0.2">
      <c r="A767" s="420" t="s">
        <v>413</v>
      </c>
      <c r="B767" s="420" t="s">
        <v>345</v>
      </c>
      <c r="C767" s="420" t="s">
        <v>38</v>
      </c>
      <c r="D767" s="423">
        <v>12232.21</v>
      </c>
      <c r="E767" s="423">
        <v>20535.47</v>
      </c>
      <c r="F767" s="423">
        <v>248319.91</v>
      </c>
      <c r="G767" s="423">
        <f t="shared" si="221"/>
        <v>281087.59000000003</v>
      </c>
      <c r="H767" s="422">
        <f t="shared" si="220"/>
        <v>-1.6373055116405175E-2</v>
      </c>
      <c r="I767" s="423">
        <f t="shared" si="222"/>
        <v>-4678.8699999999953</v>
      </c>
    </row>
    <row r="768" spans="1:9" x14ac:dyDescent="0.2">
      <c r="A768" s="420" t="s">
        <v>413</v>
      </c>
      <c r="B768" s="420" t="s">
        <v>348</v>
      </c>
      <c r="C768" s="420" t="s">
        <v>38</v>
      </c>
      <c r="D768" s="423">
        <v>33505.33</v>
      </c>
      <c r="E768" s="423">
        <v>38389.35</v>
      </c>
      <c r="F768" s="423">
        <v>624495.1</v>
      </c>
      <c r="G768" s="423">
        <f t="shared" si="221"/>
        <v>696389.78</v>
      </c>
      <c r="H768" s="422">
        <f t="shared" si="220"/>
        <v>-2.0177193465830984E-3</v>
      </c>
      <c r="I768" s="423">
        <f t="shared" si="222"/>
        <v>-1407.9599999999627</v>
      </c>
    </row>
    <row r="769" spans="1:9" x14ac:dyDescent="0.2">
      <c r="A769" s="420" t="s">
        <v>413</v>
      </c>
      <c r="B769" s="420" t="s">
        <v>348</v>
      </c>
      <c r="C769" s="420" t="s">
        <v>39</v>
      </c>
      <c r="D769" s="423">
        <v>11401.87</v>
      </c>
      <c r="E769" s="423">
        <v>13058.84</v>
      </c>
      <c r="F769" s="423">
        <v>87949.77</v>
      </c>
      <c r="G769" s="423">
        <f t="shared" si="221"/>
        <v>112410.48000000001</v>
      </c>
      <c r="H769" s="422">
        <f t="shared" si="220"/>
        <v>-2.2353235548201171E-2</v>
      </c>
      <c r="I769" s="423">
        <f t="shared" si="222"/>
        <v>-2570.1899999999878</v>
      </c>
    </row>
    <row r="770" spans="1:9" x14ac:dyDescent="0.2">
      <c r="A770" s="420" t="s">
        <v>413</v>
      </c>
      <c r="B770" s="420" t="s">
        <v>350</v>
      </c>
      <c r="C770" s="420" t="s">
        <v>38</v>
      </c>
      <c r="D770" s="423">
        <v>2875.26</v>
      </c>
      <c r="E770" s="423">
        <v>2154.2199999999998</v>
      </c>
      <c r="F770" s="423">
        <v>53978.48</v>
      </c>
      <c r="G770" s="423">
        <f t="shared" si="221"/>
        <v>59007.960000000006</v>
      </c>
      <c r="H770" s="422">
        <f t="shared" si="220"/>
        <v>-4.2477280158505347E-2</v>
      </c>
      <c r="I770" s="423">
        <f t="shared" si="222"/>
        <v>-2617.6899999999951</v>
      </c>
    </row>
    <row r="771" spans="1:9" x14ac:dyDescent="0.2">
      <c r="A771" s="420" t="s">
        <v>413</v>
      </c>
      <c r="B771" s="420" t="s">
        <v>350</v>
      </c>
      <c r="C771" s="420" t="s">
        <v>39</v>
      </c>
      <c r="D771" s="423">
        <v>0</v>
      </c>
      <c r="E771" s="423">
        <v>0</v>
      </c>
      <c r="F771" s="423">
        <v>0</v>
      </c>
      <c r="G771" s="423">
        <f t="shared" si="221"/>
        <v>0</v>
      </c>
      <c r="H771" s="422">
        <f t="shared" si="220"/>
        <v>0</v>
      </c>
      <c r="I771" s="423">
        <f t="shared" si="222"/>
        <v>0</v>
      </c>
    </row>
    <row r="772" spans="1:9" x14ac:dyDescent="0.2">
      <c r="G772" s="423">
        <f>SUM(G765:G771)</f>
        <v>1173729.02</v>
      </c>
      <c r="H772" s="422">
        <f t="shared" si="220"/>
        <v>-6.2466399635250254E-3</v>
      </c>
      <c r="I772" s="423">
        <f t="shared" si="222"/>
        <v>-7377.9499999999534</v>
      </c>
    </row>
    <row r="774" spans="1:9" ht="15.75" x14ac:dyDescent="0.25">
      <c r="A774" s="426">
        <v>44165</v>
      </c>
      <c r="B774" s="424" t="s">
        <v>343</v>
      </c>
      <c r="C774" s="424" t="s">
        <v>33</v>
      </c>
      <c r="D774" s="424" t="s">
        <v>34</v>
      </c>
      <c r="E774" s="424" t="s">
        <v>35</v>
      </c>
      <c r="F774" s="424" t="s">
        <v>103</v>
      </c>
      <c r="G774" s="425" t="s">
        <v>9</v>
      </c>
    </row>
    <row r="775" spans="1:9" x14ac:dyDescent="0.2">
      <c r="A775" s="420" t="s">
        <v>413</v>
      </c>
      <c r="B775" s="420" t="s">
        <v>21</v>
      </c>
      <c r="C775" s="420" t="s">
        <v>38</v>
      </c>
      <c r="D775" s="423">
        <v>764.89</v>
      </c>
      <c r="E775" s="423">
        <v>414.62</v>
      </c>
      <c r="F775" s="423">
        <v>439.58</v>
      </c>
      <c r="G775" s="423">
        <f>SUM(D775:F775)</f>
        <v>1619.09</v>
      </c>
      <c r="H775" s="422">
        <f t="shared" ref="H775:H782" si="223">IF(G765&gt;0,(G775-G765)/G765,0)</f>
        <v>-0.93480142116142051</v>
      </c>
      <c r="I775" s="423">
        <f>G775-G765</f>
        <v>-23214.12</v>
      </c>
    </row>
    <row r="776" spans="1:9" x14ac:dyDescent="0.2">
      <c r="A776" s="420" t="s">
        <v>413</v>
      </c>
      <c r="B776" s="420" t="s">
        <v>351</v>
      </c>
      <c r="C776" s="420" t="s">
        <v>38</v>
      </c>
      <c r="D776" s="423">
        <v>0</v>
      </c>
      <c r="E776" s="423">
        <v>0</v>
      </c>
      <c r="F776" s="423">
        <v>0</v>
      </c>
      <c r="G776" s="423">
        <f t="shared" ref="G776:G781" si="224">SUM(D776:F776)</f>
        <v>0</v>
      </c>
      <c r="H776" s="422">
        <f t="shared" si="223"/>
        <v>0</v>
      </c>
      <c r="I776" s="423">
        <f t="shared" ref="I776:I782" si="225">G776-G766</f>
        <v>0</v>
      </c>
    </row>
    <row r="777" spans="1:9" x14ac:dyDescent="0.2">
      <c r="A777" s="420" t="s">
        <v>413</v>
      </c>
      <c r="B777" s="420" t="s">
        <v>345</v>
      </c>
      <c r="C777" s="420" t="s">
        <v>38</v>
      </c>
      <c r="D777" s="423">
        <v>27939.02</v>
      </c>
      <c r="E777" s="423">
        <v>11394.46</v>
      </c>
      <c r="F777" s="423">
        <v>258012.75</v>
      </c>
      <c r="G777" s="423">
        <f t="shared" si="224"/>
        <v>297346.23</v>
      </c>
      <c r="H777" s="422">
        <f t="shared" si="223"/>
        <v>5.7841899032255228E-2</v>
      </c>
      <c r="I777" s="423">
        <f t="shared" si="225"/>
        <v>16258.639999999956</v>
      </c>
    </row>
    <row r="778" spans="1:9" x14ac:dyDescent="0.2">
      <c r="A778" s="420" t="s">
        <v>413</v>
      </c>
      <c r="B778" s="420" t="s">
        <v>348</v>
      </c>
      <c r="C778" s="420" t="s">
        <v>38</v>
      </c>
      <c r="D778" s="423">
        <v>57252.7</v>
      </c>
      <c r="E778" s="423">
        <v>27616.37</v>
      </c>
      <c r="F778" s="423">
        <v>639377.21</v>
      </c>
      <c r="G778" s="423">
        <f t="shared" si="224"/>
        <v>724246.27999999991</v>
      </c>
      <c r="H778" s="422">
        <f t="shared" si="223"/>
        <v>4.0001305016279652E-2</v>
      </c>
      <c r="I778" s="423">
        <f t="shared" si="225"/>
        <v>27856.499999999884</v>
      </c>
    </row>
    <row r="779" spans="1:9" x14ac:dyDescent="0.2">
      <c r="A779" s="420" t="s">
        <v>413</v>
      </c>
      <c r="B779" s="420" t="s">
        <v>348</v>
      </c>
      <c r="C779" s="420" t="s">
        <v>39</v>
      </c>
      <c r="D779" s="423">
        <v>26638.83</v>
      </c>
      <c r="E779" s="423">
        <v>9617.4699999999993</v>
      </c>
      <c r="F779" s="423">
        <v>90183.72</v>
      </c>
      <c r="G779" s="423">
        <f t="shared" si="224"/>
        <v>126440.02</v>
      </c>
      <c r="H779" s="422">
        <f t="shared" si="223"/>
        <v>0.12480633478302017</v>
      </c>
      <c r="I779" s="423">
        <f t="shared" si="225"/>
        <v>14029.539999999994</v>
      </c>
    </row>
    <row r="780" spans="1:9" x14ac:dyDescent="0.2">
      <c r="A780" s="420" t="s">
        <v>413</v>
      </c>
      <c r="B780" s="420" t="s">
        <v>350</v>
      </c>
      <c r="C780" s="420" t="s">
        <v>38</v>
      </c>
      <c r="D780" s="423">
        <v>13062.27</v>
      </c>
      <c r="E780" s="423">
        <v>1381.28</v>
      </c>
      <c r="F780" s="423">
        <v>52191.97</v>
      </c>
      <c r="G780" s="423">
        <f t="shared" si="224"/>
        <v>66635.520000000004</v>
      </c>
      <c r="H780" s="422">
        <f t="shared" si="223"/>
        <v>0.12926323838343159</v>
      </c>
      <c r="I780" s="423">
        <f t="shared" si="225"/>
        <v>7627.5599999999977</v>
      </c>
    </row>
    <row r="781" spans="1:9" x14ac:dyDescent="0.2">
      <c r="A781" s="420" t="s">
        <v>413</v>
      </c>
      <c r="B781" s="420" t="s">
        <v>350</v>
      </c>
      <c r="C781" s="420" t="s">
        <v>39</v>
      </c>
      <c r="D781" s="423">
        <v>0</v>
      </c>
      <c r="E781" s="423">
        <v>0</v>
      </c>
      <c r="F781" s="423">
        <v>0</v>
      </c>
      <c r="G781" s="423">
        <f t="shared" si="224"/>
        <v>0</v>
      </c>
      <c r="H781" s="422">
        <f t="shared" si="223"/>
        <v>0</v>
      </c>
      <c r="I781" s="423">
        <f t="shared" si="225"/>
        <v>0</v>
      </c>
    </row>
    <row r="782" spans="1:9" x14ac:dyDescent="0.2">
      <c r="G782" s="423">
        <f>SUM(G775:G781)</f>
        <v>1216287.1399999999</v>
      </c>
      <c r="H782" s="422">
        <f t="shared" si="223"/>
        <v>3.6258897304933195E-2</v>
      </c>
      <c r="I782" s="423">
        <f t="shared" si="225"/>
        <v>42558.119999999879</v>
      </c>
    </row>
    <row r="784" spans="1:9" ht="15.75" x14ac:dyDescent="0.25">
      <c r="A784" s="426">
        <v>44196</v>
      </c>
      <c r="B784" s="424" t="s">
        <v>343</v>
      </c>
      <c r="C784" s="424" t="s">
        <v>33</v>
      </c>
      <c r="D784" s="424" t="s">
        <v>34</v>
      </c>
      <c r="E784" s="424" t="s">
        <v>35</v>
      </c>
      <c r="F784" s="424" t="s">
        <v>103</v>
      </c>
      <c r="G784" s="425" t="s">
        <v>9</v>
      </c>
    </row>
    <row r="785" spans="1:9" x14ac:dyDescent="0.2">
      <c r="A785" s="420" t="s">
        <v>413</v>
      </c>
      <c r="B785" s="420" t="s">
        <v>21</v>
      </c>
      <c r="C785" s="420" t="s">
        <v>38</v>
      </c>
      <c r="D785" s="423">
        <v>175875.9</v>
      </c>
      <c r="E785" s="423">
        <v>238.21</v>
      </c>
      <c r="F785" s="423">
        <v>242.62</v>
      </c>
      <c r="G785" s="423">
        <f>SUM(D785:F785)</f>
        <v>176356.72999999998</v>
      </c>
      <c r="H785" s="422">
        <f t="shared" ref="H785:H792" si="226">IF(G775&gt;0,(G785-G775)/G775,0)</f>
        <v>107.92336435899178</v>
      </c>
      <c r="I785" s="423">
        <f>G785-G775</f>
        <v>174737.63999999998</v>
      </c>
    </row>
    <row r="786" spans="1:9" x14ac:dyDescent="0.2">
      <c r="A786" s="420" t="s">
        <v>413</v>
      </c>
      <c r="B786" s="420" t="s">
        <v>351</v>
      </c>
      <c r="C786" s="420" t="s">
        <v>38</v>
      </c>
      <c r="D786" s="423">
        <v>0</v>
      </c>
      <c r="E786" s="423">
        <v>0</v>
      </c>
      <c r="F786" s="423">
        <v>0</v>
      </c>
      <c r="G786" s="423">
        <f t="shared" ref="G786:G791" si="227">SUM(D786:F786)</f>
        <v>0</v>
      </c>
      <c r="H786" s="422">
        <f t="shared" si="226"/>
        <v>0</v>
      </c>
      <c r="I786" s="423">
        <f t="shared" ref="I786:I792" si="228">G786-G776</f>
        <v>0</v>
      </c>
    </row>
    <row r="787" spans="1:9" x14ac:dyDescent="0.2">
      <c r="A787" s="420" t="s">
        <v>413</v>
      </c>
      <c r="B787" s="420" t="s">
        <v>345</v>
      </c>
      <c r="C787" s="420" t="s">
        <v>38</v>
      </c>
      <c r="D787" s="423">
        <v>13638.07</v>
      </c>
      <c r="E787" s="423">
        <v>12004.28</v>
      </c>
      <c r="F787" s="423">
        <v>198455.73</v>
      </c>
      <c r="G787" s="423">
        <f t="shared" si="227"/>
        <v>224098.08000000002</v>
      </c>
      <c r="H787" s="422">
        <f t="shared" si="226"/>
        <v>-0.24633959542718928</v>
      </c>
      <c r="I787" s="423">
        <f t="shared" si="228"/>
        <v>-73248.149999999965</v>
      </c>
    </row>
    <row r="788" spans="1:9" x14ac:dyDescent="0.2">
      <c r="A788" s="420" t="s">
        <v>413</v>
      </c>
      <c r="B788" s="420" t="s">
        <v>348</v>
      </c>
      <c r="C788" s="420" t="s">
        <v>38</v>
      </c>
      <c r="D788" s="423">
        <v>34263.74</v>
      </c>
      <c r="E788" s="423">
        <v>45367.81</v>
      </c>
      <c r="F788" s="423">
        <v>626484.1</v>
      </c>
      <c r="G788" s="423">
        <f t="shared" si="227"/>
        <v>706115.64999999991</v>
      </c>
      <c r="H788" s="422">
        <f t="shared" si="226"/>
        <v>-2.5033790991649978E-2</v>
      </c>
      <c r="I788" s="423">
        <f t="shared" si="228"/>
        <v>-18130.630000000005</v>
      </c>
    </row>
    <row r="789" spans="1:9" x14ac:dyDescent="0.2">
      <c r="A789" s="420" t="s">
        <v>413</v>
      </c>
      <c r="B789" s="420" t="s">
        <v>348</v>
      </c>
      <c r="C789" s="420" t="s">
        <v>39</v>
      </c>
      <c r="D789" s="423">
        <v>10250.620000000001</v>
      </c>
      <c r="E789" s="423">
        <v>22337.09</v>
      </c>
      <c r="F789" s="423">
        <v>91121.15</v>
      </c>
      <c r="G789" s="423">
        <f t="shared" si="227"/>
        <v>123708.85999999999</v>
      </c>
      <c r="H789" s="422">
        <f t="shared" si="226"/>
        <v>-2.1600439481107469E-2</v>
      </c>
      <c r="I789" s="423">
        <f t="shared" si="228"/>
        <v>-2731.160000000018</v>
      </c>
    </row>
    <row r="790" spans="1:9" x14ac:dyDescent="0.2">
      <c r="A790" s="420" t="s">
        <v>413</v>
      </c>
      <c r="B790" s="420" t="s">
        <v>350</v>
      </c>
      <c r="C790" s="420" t="s">
        <v>38</v>
      </c>
      <c r="D790" s="423">
        <v>3235.87</v>
      </c>
      <c r="E790" s="423">
        <v>12915.96</v>
      </c>
      <c r="F790" s="423">
        <v>47280.2</v>
      </c>
      <c r="G790" s="423">
        <f t="shared" si="227"/>
        <v>63432.03</v>
      </c>
      <c r="H790" s="422">
        <f t="shared" si="226"/>
        <v>-4.8074810551489731E-2</v>
      </c>
      <c r="I790" s="423">
        <f t="shared" si="228"/>
        <v>-3203.4900000000052</v>
      </c>
    </row>
    <row r="791" spans="1:9" x14ac:dyDescent="0.2">
      <c r="A791" s="420" t="s">
        <v>413</v>
      </c>
      <c r="B791" s="420" t="s">
        <v>350</v>
      </c>
      <c r="C791" s="420" t="s">
        <v>39</v>
      </c>
      <c r="D791" s="423">
        <v>0</v>
      </c>
      <c r="E791" s="423">
        <v>0</v>
      </c>
      <c r="F791" s="423">
        <v>0</v>
      </c>
      <c r="G791" s="423">
        <f t="shared" si="227"/>
        <v>0</v>
      </c>
      <c r="H791" s="422">
        <f t="shared" si="226"/>
        <v>0</v>
      </c>
      <c r="I791" s="423">
        <f t="shared" si="228"/>
        <v>0</v>
      </c>
    </row>
    <row r="792" spans="1:9" x14ac:dyDescent="0.2">
      <c r="G792" s="423">
        <f>SUM(G785:G791)</f>
        <v>1293711.3499999999</v>
      </c>
      <c r="H792" s="422">
        <f t="shared" si="226"/>
        <v>6.3656193881980835E-2</v>
      </c>
      <c r="I792" s="423">
        <f t="shared" si="228"/>
        <v>77424.209999999963</v>
      </c>
    </row>
    <row r="794" spans="1:9" ht="15.75" x14ac:dyDescent="0.25">
      <c r="A794" s="426">
        <v>44227</v>
      </c>
      <c r="B794" s="424" t="s">
        <v>343</v>
      </c>
      <c r="C794" s="424" t="s">
        <v>33</v>
      </c>
      <c r="D794" s="424" t="s">
        <v>34</v>
      </c>
      <c r="E794" s="424" t="s">
        <v>35</v>
      </c>
      <c r="F794" s="424" t="s">
        <v>103</v>
      </c>
      <c r="G794" s="425" t="s">
        <v>9</v>
      </c>
    </row>
    <row r="795" spans="1:9" x14ac:dyDescent="0.2">
      <c r="A795" s="420" t="s">
        <v>413</v>
      </c>
      <c r="B795" s="420" t="s">
        <v>21</v>
      </c>
      <c r="C795" s="420" t="s">
        <v>38</v>
      </c>
      <c r="D795" s="423">
        <v>678.49</v>
      </c>
      <c r="E795" s="423">
        <v>2026.01</v>
      </c>
      <c r="F795" s="423">
        <v>481.63</v>
      </c>
      <c r="G795" s="423">
        <f>SUM(D795:F795)</f>
        <v>3186.13</v>
      </c>
      <c r="H795" s="422">
        <f t="shared" ref="H795:H802" si="229">IF(G785&gt;0,(G795-G785)/G785,0)</f>
        <v>-0.98193360695676313</v>
      </c>
      <c r="I795" s="423">
        <f>G795-G785</f>
        <v>-173170.59999999998</v>
      </c>
    </row>
    <row r="796" spans="1:9" x14ac:dyDescent="0.2">
      <c r="A796" s="420" t="s">
        <v>413</v>
      </c>
      <c r="B796" s="420" t="s">
        <v>351</v>
      </c>
      <c r="C796" s="420" t="s">
        <v>38</v>
      </c>
      <c r="D796" s="423">
        <v>124.81</v>
      </c>
      <c r="E796" s="423">
        <v>0</v>
      </c>
      <c r="F796" s="423">
        <v>0</v>
      </c>
      <c r="G796" s="423">
        <f t="shared" ref="G796:G801" si="230">SUM(D796:F796)</f>
        <v>124.81</v>
      </c>
      <c r="H796" s="422">
        <f t="shared" si="229"/>
        <v>0</v>
      </c>
      <c r="I796" s="423">
        <f t="shared" ref="I796:I802" si="231">G796-G786</f>
        <v>124.81</v>
      </c>
    </row>
    <row r="797" spans="1:9" x14ac:dyDescent="0.2">
      <c r="A797" s="420" t="s">
        <v>413</v>
      </c>
      <c r="B797" s="420" t="s">
        <v>345</v>
      </c>
      <c r="C797" s="420" t="s">
        <v>38</v>
      </c>
      <c r="D797" s="423">
        <v>15921.26</v>
      </c>
      <c r="E797" s="423">
        <v>6788.32</v>
      </c>
      <c r="F797" s="423">
        <v>207147.83</v>
      </c>
      <c r="G797" s="423">
        <f t="shared" si="230"/>
        <v>229857.40999999997</v>
      </c>
      <c r="H797" s="422">
        <f t="shared" si="229"/>
        <v>2.570004169602862E-2</v>
      </c>
      <c r="I797" s="423">
        <f t="shared" si="231"/>
        <v>5759.3299999999581</v>
      </c>
    </row>
    <row r="798" spans="1:9" x14ac:dyDescent="0.2">
      <c r="A798" s="420" t="s">
        <v>413</v>
      </c>
      <c r="B798" s="420" t="s">
        <v>348</v>
      </c>
      <c r="C798" s="420" t="s">
        <v>38</v>
      </c>
      <c r="D798" s="423">
        <v>35041.11</v>
      </c>
      <c r="E798" s="423">
        <v>28569.99</v>
      </c>
      <c r="F798" s="423">
        <v>653941.96</v>
      </c>
      <c r="G798" s="423">
        <f t="shared" si="230"/>
        <v>717553.05999999994</v>
      </c>
      <c r="H798" s="422">
        <f t="shared" si="229"/>
        <v>1.6197644111131136E-2</v>
      </c>
      <c r="I798" s="423">
        <f t="shared" si="231"/>
        <v>11437.410000000033</v>
      </c>
    </row>
    <row r="799" spans="1:9" x14ac:dyDescent="0.2">
      <c r="A799" s="420" t="s">
        <v>413</v>
      </c>
      <c r="B799" s="420" t="s">
        <v>348</v>
      </c>
      <c r="C799" s="420" t="s">
        <v>39</v>
      </c>
      <c r="D799" s="423">
        <v>14926.24</v>
      </c>
      <c r="E799" s="423">
        <v>6556</v>
      </c>
      <c r="F799" s="423">
        <v>107770.74</v>
      </c>
      <c r="G799" s="423">
        <f t="shared" si="230"/>
        <v>129252.98000000001</v>
      </c>
      <c r="H799" s="422">
        <f t="shared" si="229"/>
        <v>4.4815868483470182E-2</v>
      </c>
      <c r="I799" s="423">
        <f t="shared" si="231"/>
        <v>5544.1200000000244</v>
      </c>
    </row>
    <row r="800" spans="1:9" x14ac:dyDescent="0.2">
      <c r="A800" s="420" t="s">
        <v>413</v>
      </c>
      <c r="B800" s="420" t="s">
        <v>350</v>
      </c>
      <c r="C800" s="420" t="s">
        <v>38</v>
      </c>
      <c r="D800" s="423">
        <v>564.36</v>
      </c>
      <c r="E800" s="423">
        <v>2247.7600000000002</v>
      </c>
      <c r="F800" s="423">
        <v>53150.27</v>
      </c>
      <c r="G800" s="423">
        <f t="shared" si="230"/>
        <v>55962.39</v>
      </c>
      <c r="H800" s="422">
        <f t="shared" si="229"/>
        <v>-0.11775817359148051</v>
      </c>
      <c r="I800" s="423">
        <f t="shared" si="231"/>
        <v>-7469.6399999999994</v>
      </c>
    </row>
    <row r="801" spans="1:9" x14ac:dyDescent="0.2">
      <c r="A801" s="420" t="s">
        <v>413</v>
      </c>
      <c r="B801" s="420" t="s">
        <v>350</v>
      </c>
      <c r="C801" s="420" t="s">
        <v>39</v>
      </c>
      <c r="D801" s="423">
        <v>0</v>
      </c>
      <c r="E801" s="423">
        <v>0</v>
      </c>
      <c r="F801" s="423">
        <v>0</v>
      </c>
      <c r="G801" s="423">
        <f t="shared" si="230"/>
        <v>0</v>
      </c>
      <c r="H801" s="422">
        <f t="shared" si="229"/>
        <v>0</v>
      </c>
      <c r="I801" s="423">
        <f t="shared" si="231"/>
        <v>0</v>
      </c>
    </row>
    <row r="802" spans="1:9" x14ac:dyDescent="0.2">
      <c r="G802" s="423">
        <f>SUM(G795:G801)</f>
        <v>1135936.7799999998</v>
      </c>
      <c r="H802" s="422">
        <f t="shared" si="229"/>
        <v>-0.12195500178614038</v>
      </c>
      <c r="I802" s="423">
        <f t="shared" si="231"/>
        <v>-157774.57000000007</v>
      </c>
    </row>
    <row r="804" spans="1:9" ht="15.75" x14ac:dyDescent="0.25">
      <c r="A804" s="426">
        <v>44255</v>
      </c>
      <c r="B804" s="424" t="s">
        <v>343</v>
      </c>
      <c r="C804" s="424" t="s">
        <v>33</v>
      </c>
      <c r="D804" s="424" t="s">
        <v>34</v>
      </c>
      <c r="E804" s="424" t="s">
        <v>35</v>
      </c>
      <c r="F804" s="424" t="s">
        <v>103</v>
      </c>
      <c r="G804" s="425" t="s">
        <v>9</v>
      </c>
    </row>
    <row r="805" spans="1:9" x14ac:dyDescent="0.2">
      <c r="A805" s="420" t="s">
        <v>413</v>
      </c>
      <c r="B805" s="420" t="s">
        <v>21</v>
      </c>
      <c r="C805" s="420" t="s">
        <v>38</v>
      </c>
      <c r="D805" s="423">
        <v>581.45000000000005</v>
      </c>
      <c r="E805" s="423">
        <v>188.87</v>
      </c>
      <c r="F805" s="423">
        <v>1787.57</v>
      </c>
      <c r="G805" s="423">
        <f>SUM(D805:F805)</f>
        <v>2557.89</v>
      </c>
      <c r="H805" s="422">
        <f t="shared" ref="H805:H812" si="232">IF(G795&gt;0,(G805-G795)/G795,0)</f>
        <v>-0.19717965054784337</v>
      </c>
      <c r="I805" s="423">
        <f>G805-G795</f>
        <v>-628.24000000000024</v>
      </c>
    </row>
    <row r="806" spans="1:9" x14ac:dyDescent="0.2">
      <c r="A806" s="420" t="s">
        <v>413</v>
      </c>
      <c r="B806" s="420" t="s">
        <v>351</v>
      </c>
      <c r="C806" s="420" t="s">
        <v>38</v>
      </c>
      <c r="D806" s="423">
        <v>67349.94</v>
      </c>
      <c r="E806" s="423">
        <v>125.34</v>
      </c>
      <c r="F806" s="423">
        <v>0</v>
      </c>
      <c r="G806" s="423">
        <f t="shared" ref="G806:G811" si="233">SUM(D806:F806)</f>
        <v>67475.28</v>
      </c>
      <c r="H806" s="422">
        <f t="shared" si="232"/>
        <v>539.62398846246299</v>
      </c>
      <c r="I806" s="423">
        <f t="shared" ref="I806:I812" si="234">G806-G796</f>
        <v>67350.47</v>
      </c>
    </row>
    <row r="807" spans="1:9" x14ac:dyDescent="0.2">
      <c r="A807" s="420" t="s">
        <v>413</v>
      </c>
      <c r="B807" s="420" t="s">
        <v>345</v>
      </c>
      <c r="C807" s="420" t="s">
        <v>38</v>
      </c>
      <c r="D807" s="423">
        <v>12065.61</v>
      </c>
      <c r="E807" s="423">
        <v>7440.34</v>
      </c>
      <c r="F807" s="423">
        <v>201579.86</v>
      </c>
      <c r="G807" s="423">
        <f t="shared" si="233"/>
        <v>221085.81</v>
      </c>
      <c r="H807" s="422">
        <f t="shared" si="232"/>
        <v>-3.8161049495859099E-2</v>
      </c>
      <c r="I807" s="423">
        <f t="shared" si="234"/>
        <v>-8771.5999999999767</v>
      </c>
    </row>
    <row r="808" spans="1:9" x14ac:dyDescent="0.2">
      <c r="A808" s="420" t="s">
        <v>413</v>
      </c>
      <c r="B808" s="420" t="s">
        <v>348</v>
      </c>
      <c r="C808" s="420" t="s">
        <v>38</v>
      </c>
      <c r="D808" s="423">
        <v>59077.07</v>
      </c>
      <c r="E808" s="423">
        <v>24553.11</v>
      </c>
      <c r="F808" s="423">
        <v>660733.97</v>
      </c>
      <c r="G808" s="423">
        <f t="shared" si="233"/>
        <v>744364.14999999991</v>
      </c>
      <c r="H808" s="422">
        <f t="shared" si="232"/>
        <v>3.7364609663848372E-2</v>
      </c>
      <c r="I808" s="423">
        <f t="shared" si="234"/>
        <v>26811.089999999967</v>
      </c>
    </row>
    <row r="809" spans="1:9" x14ac:dyDescent="0.2">
      <c r="A809" s="420" t="s">
        <v>413</v>
      </c>
      <c r="B809" s="420" t="s">
        <v>348</v>
      </c>
      <c r="C809" s="420" t="s">
        <v>39</v>
      </c>
      <c r="D809" s="423">
        <v>20544.13</v>
      </c>
      <c r="E809" s="423">
        <v>10254.549999999999</v>
      </c>
      <c r="F809" s="423">
        <v>100846.25</v>
      </c>
      <c r="G809" s="423">
        <f t="shared" si="233"/>
        <v>131644.93</v>
      </c>
      <c r="H809" s="422">
        <f t="shared" si="232"/>
        <v>1.8505956303676574E-2</v>
      </c>
      <c r="I809" s="423">
        <f t="shared" si="234"/>
        <v>2391.9499999999825</v>
      </c>
    </row>
    <row r="810" spans="1:9" x14ac:dyDescent="0.2">
      <c r="A810" s="420" t="s">
        <v>413</v>
      </c>
      <c r="B810" s="420" t="s">
        <v>350</v>
      </c>
      <c r="C810" s="420" t="s">
        <v>38</v>
      </c>
      <c r="D810" s="423">
        <v>9472.94</v>
      </c>
      <c r="E810" s="423">
        <v>142.71</v>
      </c>
      <c r="F810" s="423">
        <v>48937.66</v>
      </c>
      <c r="G810" s="423">
        <f t="shared" si="233"/>
        <v>58553.310000000005</v>
      </c>
      <c r="H810" s="422">
        <f t="shared" si="232"/>
        <v>4.6297522318114105E-2</v>
      </c>
      <c r="I810" s="423">
        <f t="shared" si="234"/>
        <v>2590.9200000000055</v>
      </c>
    </row>
    <row r="811" spans="1:9" x14ac:dyDescent="0.2">
      <c r="A811" s="420" t="s">
        <v>413</v>
      </c>
      <c r="B811" s="420" t="s">
        <v>350</v>
      </c>
      <c r="C811" s="420" t="s">
        <v>39</v>
      </c>
      <c r="D811" s="423">
        <v>0</v>
      </c>
      <c r="E811" s="423">
        <v>0</v>
      </c>
      <c r="F811" s="423">
        <v>0</v>
      </c>
      <c r="G811" s="423">
        <f t="shared" si="233"/>
        <v>0</v>
      </c>
      <c r="H811" s="422">
        <f t="shared" si="232"/>
        <v>0</v>
      </c>
      <c r="I811" s="423">
        <f t="shared" si="234"/>
        <v>0</v>
      </c>
    </row>
    <row r="812" spans="1:9" x14ac:dyDescent="0.2">
      <c r="G812" s="423">
        <f>SUM(G805:G811)</f>
        <v>1225681.3699999999</v>
      </c>
      <c r="H812" s="422">
        <f t="shared" si="232"/>
        <v>7.9004916101052827E-2</v>
      </c>
      <c r="I812" s="423">
        <f t="shared" si="234"/>
        <v>89744.590000000084</v>
      </c>
    </row>
    <row r="814" spans="1:9" ht="15.75" x14ac:dyDescent="0.25">
      <c r="A814" s="426">
        <v>44286</v>
      </c>
      <c r="B814" s="424" t="s">
        <v>343</v>
      </c>
      <c r="C814" s="424" t="s">
        <v>33</v>
      </c>
      <c r="D814" s="424" t="s">
        <v>34</v>
      </c>
      <c r="E814" s="424" t="s">
        <v>35</v>
      </c>
      <c r="F814" s="424" t="s">
        <v>103</v>
      </c>
      <c r="G814" s="425" t="s">
        <v>9</v>
      </c>
    </row>
    <row r="815" spans="1:9" x14ac:dyDescent="0.2">
      <c r="A815" s="420" t="s">
        <v>413</v>
      </c>
      <c r="B815" s="420" t="s">
        <v>21</v>
      </c>
      <c r="C815" s="420" t="s">
        <v>38</v>
      </c>
      <c r="D815" s="423">
        <v>6041.66</v>
      </c>
      <c r="E815" s="423">
        <v>481.52</v>
      </c>
      <c r="F815" s="423">
        <v>244.93</v>
      </c>
      <c r="G815" s="423">
        <f>SUM(D815:F815)</f>
        <v>6768.1100000000006</v>
      </c>
      <c r="H815" s="422">
        <f t="shared" ref="H815:H822" si="235">IF(G805&gt;0,(G815-G805)/G805,0)</f>
        <v>1.6459738299926898</v>
      </c>
      <c r="I815" s="423">
        <f>G815-G805</f>
        <v>4210.2200000000012</v>
      </c>
    </row>
    <row r="816" spans="1:9" x14ac:dyDescent="0.2">
      <c r="A816" s="420" t="s">
        <v>413</v>
      </c>
      <c r="B816" s="420" t="s">
        <v>351</v>
      </c>
      <c r="C816" s="420" t="s">
        <v>38</v>
      </c>
      <c r="D816" s="423">
        <v>56180.13</v>
      </c>
      <c r="E816" s="423">
        <v>67463.48</v>
      </c>
      <c r="F816" s="423">
        <v>125.55</v>
      </c>
      <c r="G816" s="423">
        <f t="shared" ref="G816:G821" si="236">SUM(D816:F816)</f>
        <v>123769.15999999999</v>
      </c>
      <c r="H816" s="422">
        <f t="shared" si="235"/>
        <v>0.83428894255792629</v>
      </c>
      <c r="I816" s="423">
        <f t="shared" ref="I816:I822" si="237">G816-G806</f>
        <v>56293.87999999999</v>
      </c>
    </row>
    <row r="817" spans="1:9" x14ac:dyDescent="0.2">
      <c r="A817" s="420" t="s">
        <v>413</v>
      </c>
      <c r="B817" s="420" t="s">
        <v>345</v>
      </c>
      <c r="C817" s="420" t="s">
        <v>38</v>
      </c>
      <c r="D817" s="423">
        <v>9580.59</v>
      </c>
      <c r="E817" s="423">
        <v>9458.14</v>
      </c>
      <c r="F817" s="423">
        <v>202199.96</v>
      </c>
      <c r="G817" s="423">
        <f t="shared" si="236"/>
        <v>221238.69</v>
      </c>
      <c r="H817" s="422">
        <f t="shared" si="235"/>
        <v>6.914962113579549E-4</v>
      </c>
      <c r="I817" s="423">
        <f t="shared" si="237"/>
        <v>152.88000000000466</v>
      </c>
    </row>
    <row r="818" spans="1:9" x14ac:dyDescent="0.2">
      <c r="A818" s="420" t="s">
        <v>413</v>
      </c>
      <c r="B818" s="420" t="s">
        <v>348</v>
      </c>
      <c r="C818" s="420" t="s">
        <v>38</v>
      </c>
      <c r="D818" s="423">
        <v>46318.2</v>
      </c>
      <c r="E818" s="423">
        <v>43449.77</v>
      </c>
      <c r="F818" s="423">
        <v>661713.43999999994</v>
      </c>
      <c r="G818" s="423">
        <f t="shared" si="236"/>
        <v>751481.40999999992</v>
      </c>
      <c r="H818" s="422">
        <f t="shared" si="235"/>
        <v>9.5615297969414703E-3</v>
      </c>
      <c r="I818" s="423">
        <f t="shared" si="237"/>
        <v>7117.2600000000093</v>
      </c>
    </row>
    <row r="819" spans="1:9" x14ac:dyDescent="0.2">
      <c r="A819" s="420" t="s">
        <v>413</v>
      </c>
      <c r="B819" s="420" t="s">
        <v>348</v>
      </c>
      <c r="C819" s="420" t="s">
        <v>39</v>
      </c>
      <c r="D819" s="423">
        <v>13325.59</v>
      </c>
      <c r="E819" s="423">
        <v>16509.759999999998</v>
      </c>
      <c r="F819" s="423">
        <v>98645.88</v>
      </c>
      <c r="G819" s="423">
        <f t="shared" si="236"/>
        <v>128481.23000000001</v>
      </c>
      <c r="H819" s="422">
        <f t="shared" si="235"/>
        <v>-2.4032068686579748E-2</v>
      </c>
      <c r="I819" s="423">
        <f t="shared" si="237"/>
        <v>-3163.6999999999825</v>
      </c>
    </row>
    <row r="820" spans="1:9" x14ac:dyDescent="0.2">
      <c r="A820" s="420" t="s">
        <v>413</v>
      </c>
      <c r="B820" s="420" t="s">
        <v>350</v>
      </c>
      <c r="C820" s="420" t="s">
        <v>38</v>
      </c>
      <c r="D820" s="423">
        <v>15688.67</v>
      </c>
      <c r="E820" s="423">
        <v>4252.83</v>
      </c>
      <c r="F820" s="423">
        <v>41963.01</v>
      </c>
      <c r="G820" s="423">
        <f t="shared" si="236"/>
        <v>61904.51</v>
      </c>
      <c r="H820" s="422">
        <f t="shared" si="235"/>
        <v>5.7233314393328009E-2</v>
      </c>
      <c r="I820" s="423">
        <f t="shared" si="237"/>
        <v>3351.1999999999971</v>
      </c>
    </row>
    <row r="821" spans="1:9" x14ac:dyDescent="0.2">
      <c r="A821" s="420" t="s">
        <v>413</v>
      </c>
      <c r="B821" s="420" t="s">
        <v>350</v>
      </c>
      <c r="C821" s="420" t="s">
        <v>39</v>
      </c>
      <c r="D821" s="423">
        <v>0</v>
      </c>
      <c r="E821" s="423">
        <v>0</v>
      </c>
      <c r="F821" s="423">
        <v>0</v>
      </c>
      <c r="G821" s="423">
        <f t="shared" si="236"/>
        <v>0</v>
      </c>
      <c r="H821" s="422">
        <f t="shared" si="235"/>
        <v>0</v>
      </c>
      <c r="I821" s="423">
        <f t="shared" si="237"/>
        <v>0</v>
      </c>
    </row>
    <row r="822" spans="1:9" x14ac:dyDescent="0.2">
      <c r="G822" s="423">
        <f>SUM(G815:G821)</f>
        <v>1293643.1099999999</v>
      </c>
      <c r="H822" s="422">
        <f t="shared" si="235"/>
        <v>5.5448130047044769E-2</v>
      </c>
      <c r="I822" s="423">
        <f t="shared" si="237"/>
        <v>67961.739999999991</v>
      </c>
    </row>
    <row r="824" spans="1:9" ht="15.75" x14ac:dyDescent="0.25">
      <c r="A824" s="426">
        <v>44316</v>
      </c>
      <c r="B824" s="424" t="s">
        <v>343</v>
      </c>
      <c r="C824" s="424" t="s">
        <v>33</v>
      </c>
      <c r="D824" s="424" t="s">
        <v>34</v>
      </c>
      <c r="E824" s="424" t="s">
        <v>35</v>
      </c>
      <c r="F824" s="424" t="s">
        <v>103</v>
      </c>
      <c r="G824" s="425" t="s">
        <v>9</v>
      </c>
    </row>
    <row r="825" spans="1:9" x14ac:dyDescent="0.2">
      <c r="A825" s="420" t="s">
        <v>413</v>
      </c>
      <c r="B825" s="420" t="s">
        <v>21</v>
      </c>
      <c r="C825" s="420" t="s">
        <v>38</v>
      </c>
      <c r="D825" s="423">
        <v>3120.03</v>
      </c>
      <c r="E825" s="423">
        <v>2397.5500000000002</v>
      </c>
      <c r="F825" s="423">
        <v>726.4</v>
      </c>
      <c r="G825" s="423">
        <f>SUM(D825:F825)</f>
        <v>6243.98</v>
      </c>
      <c r="H825" s="422">
        <f t="shared" ref="H825" si="238">IF(G815&gt;0,(G825-G815)/G815,0)</f>
        <v>-7.7441117239524918E-2</v>
      </c>
      <c r="I825" s="423">
        <f>G825-G815</f>
        <v>-524.13000000000102</v>
      </c>
    </row>
    <row r="826" spans="1:9" x14ac:dyDescent="0.2">
      <c r="A826" s="420" t="s">
        <v>413</v>
      </c>
      <c r="B826" s="420" t="s">
        <v>351</v>
      </c>
      <c r="C826" s="420" t="s">
        <v>38</v>
      </c>
      <c r="D826" s="423">
        <v>63821.66</v>
      </c>
      <c r="E826" s="423">
        <v>55919.49</v>
      </c>
      <c r="F826" s="423">
        <v>1535.53</v>
      </c>
      <c r="G826" s="423">
        <f t="shared" ref="G826:G831" si="239">SUM(D826:F826)</f>
        <v>121276.68</v>
      </c>
      <c r="H826" s="422">
        <f t="shared" ref="H826:H832" si="240">IF(G816&gt;0,(G826-G816)/G816,0)</f>
        <v>-2.0138134572457275E-2</v>
      </c>
      <c r="I826" s="423">
        <f t="shared" ref="I826:I832" si="241">G826-G816</f>
        <v>-2492.4799999999959</v>
      </c>
    </row>
    <row r="827" spans="1:9" x14ac:dyDescent="0.2">
      <c r="A827" s="420" t="s">
        <v>413</v>
      </c>
      <c r="B827" s="420" t="s">
        <v>345</v>
      </c>
      <c r="C827" s="420" t="s">
        <v>38</v>
      </c>
      <c r="D827" s="423">
        <v>13858.18</v>
      </c>
      <c r="E827" s="423">
        <v>8901.86</v>
      </c>
      <c r="F827" s="423">
        <v>205951.7</v>
      </c>
      <c r="G827" s="423">
        <f t="shared" si="239"/>
        <v>228711.74000000002</v>
      </c>
      <c r="H827" s="422">
        <f t="shared" si="240"/>
        <v>3.3778223872144686E-2</v>
      </c>
      <c r="I827" s="423">
        <f t="shared" si="241"/>
        <v>7473.0500000000175</v>
      </c>
    </row>
    <row r="828" spans="1:9" x14ac:dyDescent="0.2">
      <c r="A828" s="420" t="s">
        <v>413</v>
      </c>
      <c r="B828" s="420" t="s">
        <v>348</v>
      </c>
      <c r="C828" s="420" t="s">
        <v>38</v>
      </c>
      <c r="D828" s="423">
        <v>30028.79</v>
      </c>
      <c r="E828" s="423">
        <v>37910.589999999997</v>
      </c>
      <c r="F828" s="423">
        <v>675004.41</v>
      </c>
      <c r="G828" s="423">
        <f t="shared" si="239"/>
        <v>742943.79</v>
      </c>
      <c r="H828" s="422">
        <f t="shared" si="240"/>
        <v>-1.1361052830302056E-2</v>
      </c>
      <c r="I828" s="423">
        <f t="shared" si="241"/>
        <v>-8537.6199999998789</v>
      </c>
    </row>
    <row r="829" spans="1:9" x14ac:dyDescent="0.2">
      <c r="A829" s="420" t="s">
        <v>413</v>
      </c>
      <c r="B829" s="420" t="s">
        <v>348</v>
      </c>
      <c r="C829" s="420" t="s">
        <v>39</v>
      </c>
      <c r="D829" s="423">
        <v>14319.43</v>
      </c>
      <c r="E829" s="423">
        <v>11533.2</v>
      </c>
      <c r="F829" s="423">
        <v>105952.57</v>
      </c>
      <c r="G829" s="423">
        <f t="shared" si="239"/>
        <v>131805.20000000001</v>
      </c>
      <c r="H829" s="422">
        <f t="shared" si="240"/>
        <v>2.5871249831590195E-2</v>
      </c>
      <c r="I829" s="423">
        <f t="shared" si="241"/>
        <v>3323.9700000000012</v>
      </c>
    </row>
    <row r="830" spans="1:9" x14ac:dyDescent="0.2">
      <c r="A830" s="420" t="s">
        <v>413</v>
      </c>
      <c r="B830" s="420" t="s">
        <v>350</v>
      </c>
      <c r="C830" s="420" t="s">
        <v>38</v>
      </c>
      <c r="D830" s="423">
        <v>1986.51</v>
      </c>
      <c r="E830" s="423">
        <v>15234.27</v>
      </c>
      <c r="F830" s="423">
        <v>44857.4</v>
      </c>
      <c r="G830" s="423">
        <f t="shared" si="239"/>
        <v>62078.18</v>
      </c>
      <c r="H830" s="422">
        <f t="shared" si="240"/>
        <v>2.8054498775613966E-3</v>
      </c>
      <c r="I830" s="423">
        <f t="shared" si="241"/>
        <v>173.66999999999825</v>
      </c>
    </row>
    <row r="831" spans="1:9" x14ac:dyDescent="0.2">
      <c r="A831" s="420" t="s">
        <v>413</v>
      </c>
      <c r="B831" s="420" t="s">
        <v>350</v>
      </c>
      <c r="C831" s="420" t="s">
        <v>39</v>
      </c>
      <c r="D831" s="421">
        <v>0</v>
      </c>
      <c r="E831" s="421">
        <v>0</v>
      </c>
      <c r="F831" s="421">
        <v>0</v>
      </c>
      <c r="G831" s="423">
        <f t="shared" si="239"/>
        <v>0</v>
      </c>
      <c r="H831" s="422">
        <f t="shared" si="240"/>
        <v>0</v>
      </c>
      <c r="I831" s="423">
        <f t="shared" si="241"/>
        <v>0</v>
      </c>
    </row>
    <row r="832" spans="1:9" x14ac:dyDescent="0.2">
      <c r="G832" s="423">
        <f>SUM(G825:G831)</f>
        <v>1293059.5699999998</v>
      </c>
      <c r="H832" s="422">
        <f t="shared" si="240"/>
        <v>-4.5108267920975306E-4</v>
      </c>
      <c r="I832" s="423">
        <f t="shared" si="241"/>
        <v>-583.54000000003725</v>
      </c>
    </row>
    <row r="834" spans="1:9" ht="15.75" x14ac:dyDescent="0.25">
      <c r="A834" s="426">
        <v>44347</v>
      </c>
      <c r="B834" s="424" t="s">
        <v>343</v>
      </c>
      <c r="C834" s="424" t="s">
        <v>33</v>
      </c>
      <c r="D834" s="424" t="s">
        <v>34</v>
      </c>
      <c r="E834" s="424" t="s">
        <v>35</v>
      </c>
      <c r="F834" s="424" t="s">
        <v>103</v>
      </c>
      <c r="G834" s="425" t="s">
        <v>9</v>
      </c>
    </row>
    <row r="835" spans="1:9" x14ac:dyDescent="0.2">
      <c r="A835" s="420" t="s">
        <v>413</v>
      </c>
      <c r="B835" s="420" t="s">
        <v>21</v>
      </c>
      <c r="C835" s="420" t="s">
        <v>38</v>
      </c>
      <c r="D835" s="423">
        <v>592.66999999999996</v>
      </c>
      <c r="E835" s="423">
        <v>497.09</v>
      </c>
      <c r="F835" s="423">
        <v>1215.0899999999999</v>
      </c>
      <c r="G835" s="423">
        <f>SUM(D835:F835)</f>
        <v>2304.85</v>
      </c>
      <c r="H835" s="422">
        <f t="shared" ref="H835:H837" si="242">IF(G825&gt;0,(G835-G825)/G825,0)</f>
        <v>-0.6308684524934417</v>
      </c>
      <c r="I835" s="423">
        <f>G835-G825</f>
        <v>-3939.1299999999997</v>
      </c>
    </row>
    <row r="836" spans="1:9" x14ac:dyDescent="0.2">
      <c r="A836" s="420" t="s">
        <v>413</v>
      </c>
      <c r="B836" s="420" t="s">
        <v>351</v>
      </c>
      <c r="C836" s="420" t="s">
        <v>38</v>
      </c>
      <c r="D836" s="423">
        <v>0</v>
      </c>
      <c r="E836" s="423">
        <v>63774.36</v>
      </c>
      <c r="F836" s="423">
        <v>2484.67</v>
      </c>
      <c r="G836" s="423">
        <f t="shared" ref="G836:G841" si="243">SUM(D836:F836)</f>
        <v>66259.03</v>
      </c>
      <c r="H836" s="422">
        <f t="shared" si="242"/>
        <v>-0.45365399184740213</v>
      </c>
      <c r="I836" s="423">
        <f t="shared" ref="I836:I837" si="244">G836-G826</f>
        <v>-55017.649999999994</v>
      </c>
    </row>
    <row r="837" spans="1:9" x14ac:dyDescent="0.2">
      <c r="A837" s="420" t="s">
        <v>413</v>
      </c>
      <c r="B837" s="420" t="s">
        <v>345</v>
      </c>
      <c r="C837" s="420" t="s">
        <v>38</v>
      </c>
      <c r="D837" s="423">
        <v>39156.57</v>
      </c>
      <c r="E837" s="423">
        <v>11250.79</v>
      </c>
      <c r="F837" s="423">
        <v>211212.25</v>
      </c>
      <c r="G837" s="423">
        <f t="shared" si="243"/>
        <v>261619.61</v>
      </c>
      <c r="H837" s="422">
        <f t="shared" si="242"/>
        <v>0.14388360649960497</v>
      </c>
      <c r="I837" s="423">
        <f t="shared" si="244"/>
        <v>32907.869999999966</v>
      </c>
    </row>
    <row r="838" spans="1:9" x14ac:dyDescent="0.2">
      <c r="A838" s="420" t="s">
        <v>413</v>
      </c>
      <c r="B838" s="420" t="s">
        <v>348</v>
      </c>
      <c r="C838" s="420" t="s">
        <v>38</v>
      </c>
      <c r="D838" s="423">
        <v>78260.539999999994</v>
      </c>
      <c r="E838" s="423">
        <v>22170.6</v>
      </c>
      <c r="F838" s="423">
        <v>692256.87</v>
      </c>
      <c r="G838" s="423">
        <f t="shared" si="243"/>
        <v>792688.01</v>
      </c>
      <c r="H838" s="422">
        <f>IF(G828&gt;0,(G838-G828)/G828,0)</f>
        <v>6.6955563354261255E-2</v>
      </c>
      <c r="I838" s="423">
        <f>G838-G828</f>
        <v>49744.219999999972</v>
      </c>
    </row>
    <row r="839" spans="1:9" x14ac:dyDescent="0.2">
      <c r="A839" s="420" t="s">
        <v>413</v>
      </c>
      <c r="B839" s="420" t="s">
        <v>348</v>
      </c>
      <c r="C839" s="420" t="s">
        <v>39</v>
      </c>
      <c r="D839" s="423">
        <v>33170.15</v>
      </c>
      <c r="E839" s="423">
        <v>12119.25</v>
      </c>
      <c r="F839" s="423">
        <v>106972.31</v>
      </c>
      <c r="G839" s="423">
        <f t="shared" si="243"/>
        <v>152261.71</v>
      </c>
      <c r="H839" s="422">
        <f>IF(G829&gt;0,(G839-G829)/G829,0)</f>
        <v>0.15520260202177136</v>
      </c>
      <c r="I839" s="423">
        <f>G839-G829</f>
        <v>20456.50999999998</v>
      </c>
    </row>
    <row r="840" spans="1:9" x14ac:dyDescent="0.2">
      <c r="A840" s="420" t="s">
        <v>413</v>
      </c>
      <c r="B840" s="420" t="s">
        <v>350</v>
      </c>
      <c r="C840" s="420" t="s">
        <v>38</v>
      </c>
      <c r="D840" s="423">
        <v>11730.45</v>
      </c>
      <c r="E840" s="423">
        <v>1426.45</v>
      </c>
      <c r="F840" s="423">
        <v>58829.89</v>
      </c>
      <c r="G840" s="423">
        <f t="shared" si="243"/>
        <v>71986.790000000008</v>
      </c>
      <c r="H840" s="422">
        <f>IF(G830&gt;0,(G840-G830)/G830,0)</f>
        <v>0.15961502093005961</v>
      </c>
      <c r="I840" s="423">
        <f>G840-G830</f>
        <v>9908.6100000000079</v>
      </c>
    </row>
    <row r="841" spans="1:9" x14ac:dyDescent="0.2">
      <c r="A841" s="420" t="s">
        <v>413</v>
      </c>
      <c r="B841" s="420" t="s">
        <v>350</v>
      </c>
      <c r="C841" s="420" t="s">
        <v>39</v>
      </c>
      <c r="D841" s="421">
        <v>0</v>
      </c>
      <c r="E841" s="421">
        <v>0</v>
      </c>
      <c r="F841" s="421">
        <v>0</v>
      </c>
      <c r="G841" s="423">
        <f t="shared" si="243"/>
        <v>0</v>
      </c>
      <c r="H841" s="422">
        <f>IF(G831&gt;0,(G841-G831)/G831,0)</f>
        <v>0</v>
      </c>
      <c r="I841" s="423">
        <f>G841-G831</f>
        <v>0</v>
      </c>
    </row>
    <row r="842" spans="1:9" x14ac:dyDescent="0.2">
      <c r="G842" s="423">
        <f>SUM(G835:G841)</f>
        <v>1347120</v>
      </c>
      <c r="H842" s="422">
        <f>IF(G832&gt;0,(G842-G832)/G832,0)</f>
        <v>4.1808151189817323E-2</v>
      </c>
      <c r="I842" s="423">
        <f>G842-G832</f>
        <v>54060.430000000168</v>
      </c>
    </row>
    <row r="844" spans="1:9" ht="15.75" x14ac:dyDescent="0.25">
      <c r="A844" s="426">
        <v>44377</v>
      </c>
      <c r="B844" s="424" t="s">
        <v>343</v>
      </c>
      <c r="C844" s="424" t="s">
        <v>33</v>
      </c>
      <c r="D844" s="424" t="s">
        <v>34</v>
      </c>
      <c r="E844" s="424" t="s">
        <v>35</v>
      </c>
      <c r="F844" s="424" t="s">
        <v>103</v>
      </c>
      <c r="G844" s="425" t="s">
        <v>9</v>
      </c>
    </row>
    <row r="845" spans="1:9" x14ac:dyDescent="0.2">
      <c r="A845" s="420" t="s">
        <v>413</v>
      </c>
      <c r="B845" s="420" t="s">
        <v>21</v>
      </c>
      <c r="C845" s="420" t="s">
        <v>38</v>
      </c>
      <c r="D845" s="423">
        <v>16.96</v>
      </c>
      <c r="E845" s="423">
        <v>29.74</v>
      </c>
      <c r="F845" s="423">
        <v>244.06</v>
      </c>
      <c r="G845" s="423">
        <f>SUM(D845:F845)</f>
        <v>290.76</v>
      </c>
      <c r="H845" s="422">
        <f t="shared" ref="H845:H847" si="245">IF(G835&gt;0,(G845-G835)/G835,0)</f>
        <v>-0.87384862355467818</v>
      </c>
      <c r="I845" s="423">
        <f>G845-G835</f>
        <v>-2014.09</v>
      </c>
    </row>
    <row r="846" spans="1:9" x14ac:dyDescent="0.2">
      <c r="A846" s="420" t="s">
        <v>413</v>
      </c>
      <c r="B846" s="420" t="s">
        <v>351</v>
      </c>
      <c r="C846" s="420" t="s">
        <v>38</v>
      </c>
      <c r="D846" s="423">
        <v>101859.61</v>
      </c>
      <c r="E846" s="423">
        <v>0</v>
      </c>
      <c r="F846" s="423">
        <v>2723.22</v>
      </c>
      <c r="G846" s="423">
        <f t="shared" ref="G846:G851" si="246">SUM(D846:F846)</f>
        <v>104582.83</v>
      </c>
      <c r="H846" s="422">
        <f t="shared" si="245"/>
        <v>0.5783936166889253</v>
      </c>
      <c r="I846" s="423">
        <f t="shared" ref="I846:I847" si="247">G846-G836</f>
        <v>38323.800000000003</v>
      </c>
    </row>
    <row r="847" spans="1:9" x14ac:dyDescent="0.2">
      <c r="A847" s="420" t="s">
        <v>413</v>
      </c>
      <c r="B847" s="420" t="s">
        <v>345</v>
      </c>
      <c r="C847" s="420" t="s">
        <v>38</v>
      </c>
      <c r="D847" s="423">
        <v>8665.61</v>
      </c>
      <c r="E847" s="423">
        <v>36959.230000000003</v>
      </c>
      <c r="F847" s="423">
        <v>217244.98</v>
      </c>
      <c r="G847" s="423">
        <f t="shared" si="246"/>
        <v>262869.82</v>
      </c>
      <c r="H847" s="422">
        <f t="shared" si="245"/>
        <v>4.7787319918412121E-3</v>
      </c>
      <c r="I847" s="423">
        <f t="shared" si="247"/>
        <v>1250.210000000021</v>
      </c>
    </row>
    <row r="848" spans="1:9" x14ac:dyDescent="0.2">
      <c r="A848" s="420" t="s">
        <v>413</v>
      </c>
      <c r="B848" s="420" t="s">
        <v>348</v>
      </c>
      <c r="C848" s="420" t="s">
        <v>38</v>
      </c>
      <c r="D848" s="423">
        <v>40080.660000000003</v>
      </c>
      <c r="E848" s="423">
        <v>56916.639999999999</v>
      </c>
      <c r="F848" s="423">
        <v>685245.71</v>
      </c>
      <c r="G848" s="423">
        <f t="shared" si="246"/>
        <v>782243.01</v>
      </c>
      <c r="H848" s="422">
        <f>IF(G838&gt;0,(G848-G838)/G838,0)</f>
        <v>-1.3176684733757989E-2</v>
      </c>
      <c r="I848" s="423">
        <f>G848-G838</f>
        <v>-10445</v>
      </c>
    </row>
    <row r="849" spans="1:20" x14ac:dyDescent="0.2">
      <c r="A849" s="420" t="s">
        <v>413</v>
      </c>
      <c r="B849" s="420" t="s">
        <v>348</v>
      </c>
      <c r="C849" s="420" t="s">
        <v>39</v>
      </c>
      <c r="D849" s="423">
        <v>12778.45</v>
      </c>
      <c r="E849" s="423">
        <v>27457.68</v>
      </c>
      <c r="F849" s="423">
        <v>109635.25</v>
      </c>
      <c r="G849" s="423">
        <f t="shared" si="246"/>
        <v>149871.38</v>
      </c>
      <c r="H849" s="422">
        <f>IF(G839&gt;0,(G849-G839)/G839,0)</f>
        <v>-1.569882539740285E-2</v>
      </c>
      <c r="I849" s="423">
        <f>G849-G839</f>
        <v>-2390.3299999999872</v>
      </c>
    </row>
    <row r="850" spans="1:20" x14ac:dyDescent="0.2">
      <c r="A850" s="420" t="s">
        <v>413</v>
      </c>
      <c r="B850" s="420" t="s">
        <v>350</v>
      </c>
      <c r="C850" s="420" t="s">
        <v>38</v>
      </c>
      <c r="D850" s="423">
        <v>20002.66</v>
      </c>
      <c r="E850" s="423">
        <v>7297.97</v>
      </c>
      <c r="F850" s="423">
        <v>57680.32</v>
      </c>
      <c r="G850" s="423">
        <f t="shared" si="246"/>
        <v>84980.95</v>
      </c>
      <c r="H850" s="422">
        <f>IF(G840&gt;0,(G850-G840)/G840,0)</f>
        <v>0.18050756256807654</v>
      </c>
      <c r="I850" s="423">
        <f>G850-G840</f>
        <v>12994.159999999989</v>
      </c>
    </row>
    <row r="851" spans="1:20" x14ac:dyDescent="0.2">
      <c r="A851" s="420" t="s">
        <v>413</v>
      </c>
      <c r="B851" s="420" t="s">
        <v>350</v>
      </c>
      <c r="C851" s="420" t="s">
        <v>39</v>
      </c>
      <c r="D851" s="421">
        <v>17.36</v>
      </c>
      <c r="E851" s="421">
        <v>0</v>
      </c>
      <c r="F851" s="421">
        <v>0</v>
      </c>
      <c r="G851" s="423">
        <f t="shared" si="246"/>
        <v>17.36</v>
      </c>
      <c r="H851" s="422">
        <f>IF(G841&gt;0,(G851-G841)/G841,0)</f>
        <v>0</v>
      </c>
      <c r="I851" s="423">
        <f>G851-G841</f>
        <v>17.36</v>
      </c>
    </row>
    <row r="852" spans="1:20" x14ac:dyDescent="0.2">
      <c r="G852" s="423">
        <f>SUM(G845:G851)</f>
        <v>1384856.1099999999</v>
      </c>
      <c r="H852" s="422">
        <f>IF(G842&gt;0,(G852-G842)/G842,0)</f>
        <v>2.8012433933131325E-2</v>
      </c>
      <c r="I852" s="423">
        <f>G852-G842</f>
        <v>37736.10999999987</v>
      </c>
    </row>
    <row r="854" spans="1:20" ht="15.75" x14ac:dyDescent="0.25">
      <c r="A854" s="426">
        <v>44408</v>
      </c>
      <c r="B854" s="424" t="s">
        <v>343</v>
      </c>
      <c r="C854" s="424" t="s">
        <v>33</v>
      </c>
      <c r="D854" s="424" t="s">
        <v>34</v>
      </c>
      <c r="E854" s="424" t="s">
        <v>35</v>
      </c>
      <c r="F854" s="424" t="s">
        <v>103</v>
      </c>
      <c r="G854" s="425" t="s">
        <v>9</v>
      </c>
    </row>
    <row r="855" spans="1:20" x14ac:dyDescent="0.2">
      <c r="A855" s="420" t="s">
        <v>415</v>
      </c>
      <c r="B855" s="420" t="s">
        <v>21</v>
      </c>
      <c r="C855" s="420" t="s">
        <v>38</v>
      </c>
      <c r="D855" s="423">
        <v>29.24</v>
      </c>
      <c r="E855" s="423">
        <v>15.75</v>
      </c>
      <c r="F855" s="423">
        <v>273.8</v>
      </c>
      <c r="G855" s="423">
        <f>SUM(D855:F855)</f>
        <v>318.79000000000002</v>
      </c>
      <c r="H855" s="422">
        <f t="shared" ref="H855:H857" si="248">IF(G845&gt;0,(G855-G845)/G845,0)</f>
        <v>9.640253129728997E-2</v>
      </c>
      <c r="I855" s="423">
        <f>G855-G845</f>
        <v>28.03000000000003</v>
      </c>
    </row>
    <row r="856" spans="1:20" x14ac:dyDescent="0.2">
      <c r="A856" s="420" t="s">
        <v>415</v>
      </c>
      <c r="B856" s="420" t="s">
        <v>351</v>
      </c>
      <c r="C856" s="420" t="s">
        <v>38</v>
      </c>
      <c r="D856" s="423">
        <v>53222.15</v>
      </c>
      <c r="E856" s="423">
        <v>55439.16</v>
      </c>
      <c r="F856" s="423">
        <v>0</v>
      </c>
      <c r="G856" s="423">
        <f t="shared" ref="G856:G861" si="249">SUM(D856:F856)</f>
        <v>108661.31</v>
      </c>
      <c r="H856" s="422">
        <f t="shared" si="248"/>
        <v>3.8997606012382682E-2</v>
      </c>
      <c r="I856" s="423">
        <f t="shared" ref="I856:I857" si="250">G856-G846</f>
        <v>4078.4799999999959</v>
      </c>
      <c r="R856" s="421"/>
      <c r="S856" s="421"/>
      <c r="T856" s="421"/>
    </row>
    <row r="857" spans="1:20" x14ac:dyDescent="0.2">
      <c r="A857" s="420" t="s">
        <v>415</v>
      </c>
      <c r="B857" s="420" t="s">
        <v>345</v>
      </c>
      <c r="C857" s="420" t="s">
        <v>38</v>
      </c>
      <c r="D857" s="423">
        <v>12676.39</v>
      </c>
      <c r="E857" s="423">
        <v>8246.83</v>
      </c>
      <c r="F857" s="423">
        <v>246758.24</v>
      </c>
      <c r="G857" s="423">
        <f t="shared" si="249"/>
        <v>267681.45999999996</v>
      </c>
      <c r="H857" s="422">
        <f t="shared" si="248"/>
        <v>1.8304269390833666E-2</v>
      </c>
      <c r="I857" s="423">
        <f t="shared" si="250"/>
        <v>4811.6399999999558</v>
      </c>
      <c r="R857" s="421"/>
      <c r="S857" s="421"/>
      <c r="T857" s="421"/>
    </row>
    <row r="858" spans="1:20" x14ac:dyDescent="0.2">
      <c r="A858" s="420" t="s">
        <v>415</v>
      </c>
      <c r="B858" s="420" t="s">
        <v>348</v>
      </c>
      <c r="C858" s="420" t="s">
        <v>38</v>
      </c>
      <c r="D858" s="423">
        <v>38025.69</v>
      </c>
      <c r="E858" s="423">
        <v>30350.42</v>
      </c>
      <c r="F858" s="423">
        <v>705657.42</v>
      </c>
      <c r="G858" s="423">
        <f t="shared" si="249"/>
        <v>774033.53</v>
      </c>
      <c r="H858" s="422">
        <f>IF(G848&gt;0,(G858-G848)/G848,0)</f>
        <v>-1.0494794961478763E-2</v>
      </c>
      <c r="I858" s="423">
        <f>G858-G848</f>
        <v>-8209.4799999999814</v>
      </c>
      <c r="R858" s="421"/>
      <c r="S858" s="421"/>
      <c r="T858" s="421"/>
    </row>
    <row r="859" spans="1:20" x14ac:dyDescent="0.2">
      <c r="A859" s="420" t="s">
        <v>415</v>
      </c>
      <c r="B859" s="420" t="s">
        <v>348</v>
      </c>
      <c r="C859" s="420" t="s">
        <v>39</v>
      </c>
      <c r="D859" s="423">
        <v>16345.99</v>
      </c>
      <c r="E859" s="423">
        <v>11466.18</v>
      </c>
      <c r="F859" s="423">
        <v>125318.98</v>
      </c>
      <c r="G859" s="423">
        <f t="shared" si="249"/>
        <v>153131.15</v>
      </c>
      <c r="H859" s="422">
        <f>IF(G849&gt;0,(G859-G849)/G849,0)</f>
        <v>2.1750450286105255E-2</v>
      </c>
      <c r="I859" s="423">
        <f>G859-G849</f>
        <v>3259.7699999999895</v>
      </c>
      <c r="R859" s="421"/>
      <c r="S859" s="421"/>
      <c r="T859" s="421"/>
    </row>
    <row r="860" spans="1:20" x14ac:dyDescent="0.2">
      <c r="A860" s="420" t="s">
        <v>415</v>
      </c>
      <c r="B860" s="420" t="s">
        <v>350</v>
      </c>
      <c r="C860" s="420" t="s">
        <v>38</v>
      </c>
      <c r="D860" s="423">
        <v>8354.94</v>
      </c>
      <c r="E860" s="423">
        <v>19505.84</v>
      </c>
      <c r="F860" s="423">
        <v>62614.63</v>
      </c>
      <c r="G860" s="423">
        <f t="shared" si="249"/>
        <v>90475.41</v>
      </c>
      <c r="H860" s="422">
        <f>IF(G850&gt;0,(G860-G850)/G850,0)</f>
        <v>6.4655196252807329E-2</v>
      </c>
      <c r="I860" s="423">
        <f>G860-G850</f>
        <v>5494.4600000000064</v>
      </c>
      <c r="R860" s="421"/>
      <c r="S860" s="421"/>
      <c r="T860" s="421"/>
    </row>
    <row r="861" spans="1:20" x14ac:dyDescent="0.2">
      <c r="A861" s="420" t="s">
        <v>415</v>
      </c>
      <c r="B861" s="420" t="s">
        <v>350</v>
      </c>
      <c r="C861" s="420" t="s">
        <v>39</v>
      </c>
      <c r="D861" s="421">
        <v>0</v>
      </c>
      <c r="E861" s="421">
        <v>0</v>
      </c>
      <c r="F861" s="421">
        <v>0</v>
      </c>
      <c r="G861" s="423">
        <f t="shared" si="249"/>
        <v>0</v>
      </c>
      <c r="H861" s="422">
        <f>IF(G851&gt;0,(G861-G851)/G851,0)</f>
        <v>-1</v>
      </c>
      <c r="I861" s="423">
        <f>G861-G851</f>
        <v>-17.36</v>
      </c>
      <c r="R861" s="421"/>
      <c r="S861" s="421"/>
      <c r="T861" s="421"/>
    </row>
    <row r="862" spans="1:20" x14ac:dyDescent="0.2">
      <c r="G862" s="423">
        <f>SUM(G855:G861)</f>
        <v>1394301.6499999997</v>
      </c>
      <c r="H862" s="422">
        <f>IF(G852&gt;0,(G862-G852)/G852,0)</f>
        <v>6.8205930795220346E-3</v>
      </c>
      <c r="I862" s="423">
        <f>G862-G852</f>
        <v>9445.5399999998044</v>
      </c>
      <c r="R862" s="421"/>
      <c r="S862" s="421"/>
      <c r="T862" s="421"/>
    </row>
    <row r="864" spans="1:20" ht="15.75" x14ac:dyDescent="0.25">
      <c r="A864" s="426">
        <v>44439</v>
      </c>
      <c r="B864" s="424" t="s">
        <v>343</v>
      </c>
      <c r="C864" s="424" t="s">
        <v>33</v>
      </c>
      <c r="D864" s="424" t="s">
        <v>34</v>
      </c>
      <c r="E864" s="424" t="s">
        <v>35</v>
      </c>
      <c r="F864" s="424" t="s">
        <v>103</v>
      </c>
      <c r="G864" s="425" t="s">
        <v>9</v>
      </c>
    </row>
    <row r="865" spans="1:9" x14ac:dyDescent="0.2">
      <c r="A865" s="420" t="s">
        <v>415</v>
      </c>
      <c r="B865" s="420" t="s">
        <v>21</v>
      </c>
      <c r="C865" s="420" t="s">
        <v>38</v>
      </c>
      <c r="D865" s="423">
        <v>487.16</v>
      </c>
      <c r="E865" s="423">
        <v>12</v>
      </c>
      <c r="F865" s="423">
        <v>261.43</v>
      </c>
      <c r="G865" s="423">
        <f>SUM(D865:F865)</f>
        <v>760.59</v>
      </c>
      <c r="H865" s="422">
        <f t="shared" ref="H865:H867" si="251">IF(G855&gt;0,(G865-G855)/G855,0)</f>
        <v>1.3858653031776405</v>
      </c>
      <c r="I865" s="423">
        <f>G865-G855</f>
        <v>441.8</v>
      </c>
    </row>
    <row r="866" spans="1:9" x14ac:dyDescent="0.2">
      <c r="A866" s="420" t="s">
        <v>415</v>
      </c>
      <c r="B866" s="420" t="s">
        <v>351</v>
      </c>
      <c r="C866" s="420" t="s">
        <v>38</v>
      </c>
      <c r="D866" s="423">
        <v>71821.399999999994</v>
      </c>
      <c r="E866" s="423">
        <v>53217.95</v>
      </c>
      <c r="F866" s="423">
        <v>3328.71</v>
      </c>
      <c r="G866" s="423">
        <f t="shared" ref="G866:G871" si="252">SUM(D866:F866)</f>
        <v>128368.06</v>
      </c>
      <c r="H866" s="422">
        <f t="shared" si="251"/>
        <v>0.18135940013975535</v>
      </c>
      <c r="I866" s="423">
        <f t="shared" ref="I866:I867" si="253">G866-G856</f>
        <v>19706.75</v>
      </c>
    </row>
    <row r="867" spans="1:9" x14ac:dyDescent="0.2">
      <c r="A867" s="420" t="s">
        <v>415</v>
      </c>
      <c r="B867" s="420" t="s">
        <v>345</v>
      </c>
      <c r="C867" s="420" t="s">
        <v>38</v>
      </c>
      <c r="D867" s="423">
        <v>19132.740000000002</v>
      </c>
      <c r="E867" s="423">
        <v>8450.17</v>
      </c>
      <c r="F867" s="423">
        <v>229301.61</v>
      </c>
      <c r="G867" s="423">
        <f t="shared" si="252"/>
        <v>256884.52</v>
      </c>
      <c r="H867" s="422">
        <f t="shared" si="251"/>
        <v>-4.0335031047723569E-2</v>
      </c>
      <c r="I867" s="423">
        <f t="shared" si="253"/>
        <v>-10796.939999999973</v>
      </c>
    </row>
    <row r="868" spans="1:9" x14ac:dyDescent="0.2">
      <c r="A868" s="420" t="s">
        <v>415</v>
      </c>
      <c r="B868" s="420" t="s">
        <v>348</v>
      </c>
      <c r="C868" s="420" t="s">
        <v>38</v>
      </c>
      <c r="D868" s="423">
        <v>69087.460000000006</v>
      </c>
      <c r="E868" s="423">
        <v>33613.43</v>
      </c>
      <c r="F868" s="423">
        <v>705358.61</v>
      </c>
      <c r="G868" s="423">
        <f t="shared" si="252"/>
        <v>808059.5</v>
      </c>
      <c r="H868" s="422">
        <f>IF(G858&gt;0,(G868-G858)/G858,0)</f>
        <v>4.3959297215457799E-2</v>
      </c>
      <c r="I868" s="423">
        <f>G868-G858</f>
        <v>34025.969999999972</v>
      </c>
    </row>
    <row r="869" spans="1:9" x14ac:dyDescent="0.2">
      <c r="A869" s="420" t="s">
        <v>415</v>
      </c>
      <c r="B869" s="420" t="s">
        <v>348</v>
      </c>
      <c r="C869" s="420" t="s">
        <v>39</v>
      </c>
      <c r="D869" s="423">
        <v>29795.91</v>
      </c>
      <c r="E869" s="423">
        <v>14304.91</v>
      </c>
      <c r="F869" s="423">
        <v>123658.06</v>
      </c>
      <c r="G869" s="423">
        <f t="shared" si="252"/>
        <v>167758.88</v>
      </c>
      <c r="H869" s="422">
        <f>IF(G859&gt;0,(G869-G859)/G859,0)</f>
        <v>9.5524196089430607E-2</v>
      </c>
      <c r="I869" s="423">
        <f>G869-G859</f>
        <v>14627.73000000001</v>
      </c>
    </row>
    <row r="870" spans="1:9" x14ac:dyDescent="0.2">
      <c r="A870" s="420" t="s">
        <v>415</v>
      </c>
      <c r="B870" s="420" t="s">
        <v>350</v>
      </c>
      <c r="C870" s="420" t="s">
        <v>38</v>
      </c>
      <c r="D870" s="423">
        <v>12509.52</v>
      </c>
      <c r="E870" s="423">
        <v>4827.58</v>
      </c>
      <c r="F870" s="423">
        <v>80135.39</v>
      </c>
      <c r="G870" s="423">
        <f t="shared" si="252"/>
        <v>97472.489999999991</v>
      </c>
      <c r="H870" s="422">
        <f>IF(G860&gt;0,(G870-G860)/G860,0)</f>
        <v>7.7336814500204937E-2</v>
      </c>
      <c r="I870" s="423">
        <f>G870-G860</f>
        <v>6997.0799999999872</v>
      </c>
    </row>
    <row r="871" spans="1:9" x14ac:dyDescent="0.2">
      <c r="A871" s="420" t="s">
        <v>415</v>
      </c>
      <c r="B871" s="420" t="s">
        <v>350</v>
      </c>
      <c r="C871" s="420" t="s">
        <v>39</v>
      </c>
      <c r="D871" s="421">
        <v>0</v>
      </c>
      <c r="E871" s="421">
        <v>0</v>
      </c>
      <c r="F871" s="421">
        <v>0</v>
      </c>
      <c r="G871" s="423">
        <f t="shared" si="252"/>
        <v>0</v>
      </c>
      <c r="H871" s="422">
        <f>IF(G861&gt;0,(G871-G861)/G861,0)</f>
        <v>0</v>
      </c>
      <c r="I871" s="423">
        <f>G871-G861</f>
        <v>0</v>
      </c>
    </row>
    <row r="872" spans="1:9" x14ac:dyDescent="0.2">
      <c r="G872" s="423">
        <f>SUM(G865:G871)</f>
        <v>1459304.0399999998</v>
      </c>
      <c r="H872" s="422">
        <f>IF(G862&gt;0,(G872-G862)/G862,0)</f>
        <v>4.6620033763856011E-2</v>
      </c>
      <c r="I872" s="423">
        <f>G872-G862</f>
        <v>65002.39000000013</v>
      </c>
    </row>
    <row r="874" spans="1:9" ht="15.75" x14ac:dyDescent="0.25">
      <c r="A874" s="426">
        <v>44469</v>
      </c>
      <c r="B874" s="424" t="s">
        <v>343</v>
      </c>
      <c r="C874" s="424" t="s">
        <v>33</v>
      </c>
      <c r="D874" s="424" t="s">
        <v>34</v>
      </c>
      <c r="E874" s="424" t="s">
        <v>35</v>
      </c>
      <c r="F874" s="424" t="s">
        <v>103</v>
      </c>
      <c r="G874" s="425" t="s">
        <v>9</v>
      </c>
    </row>
    <row r="875" spans="1:9" x14ac:dyDescent="0.2">
      <c r="A875" s="420" t="s">
        <v>415</v>
      </c>
      <c r="B875" s="420" t="s">
        <v>21</v>
      </c>
      <c r="C875" s="420" t="s">
        <v>38</v>
      </c>
      <c r="D875" s="423">
        <v>712.31</v>
      </c>
      <c r="E875" s="423">
        <v>487.7</v>
      </c>
      <c r="F875" s="423">
        <v>247.39</v>
      </c>
      <c r="G875" s="423">
        <f>SUM(D875:F875)</f>
        <v>1447.4</v>
      </c>
      <c r="H875" s="422">
        <f t="shared" ref="H875:H877" si="254">IF(G865&gt;0,(G875-G865)/G865,0)</f>
        <v>0.90299635809042988</v>
      </c>
      <c r="I875" s="423">
        <f>G875-G865</f>
        <v>686.81000000000006</v>
      </c>
    </row>
    <row r="876" spans="1:9" x14ac:dyDescent="0.2">
      <c r="A876" s="420" t="s">
        <v>415</v>
      </c>
      <c r="B876" s="420" t="s">
        <v>351</v>
      </c>
      <c r="C876" s="420" t="s">
        <v>38</v>
      </c>
      <c r="D876" s="423">
        <v>45243.06</v>
      </c>
      <c r="E876" s="423">
        <v>71883.820000000007</v>
      </c>
      <c r="F876" s="423">
        <v>56595.77</v>
      </c>
      <c r="G876" s="423">
        <f t="shared" ref="G876:G881" si="255">SUM(D876:F876)</f>
        <v>173722.65</v>
      </c>
      <c r="H876" s="422">
        <f t="shared" si="254"/>
        <v>0.35331678300661395</v>
      </c>
      <c r="I876" s="423">
        <f t="shared" ref="I876:I877" si="256">G876-G866</f>
        <v>45354.59</v>
      </c>
    </row>
    <row r="877" spans="1:9" x14ac:dyDescent="0.2">
      <c r="A877" s="420" t="s">
        <v>415</v>
      </c>
      <c r="B877" s="420" t="s">
        <v>345</v>
      </c>
      <c r="C877" s="420" t="s">
        <v>38</v>
      </c>
      <c r="D877" s="423">
        <v>11166.86</v>
      </c>
      <c r="E877" s="423">
        <v>15509.67</v>
      </c>
      <c r="F877" s="423">
        <v>227626.45</v>
      </c>
      <c r="G877" s="423">
        <f t="shared" si="255"/>
        <v>254302.98</v>
      </c>
      <c r="H877" s="422">
        <f t="shared" si="254"/>
        <v>-1.0049418314501703E-2</v>
      </c>
      <c r="I877" s="423">
        <f t="shared" si="256"/>
        <v>-2581.539999999979</v>
      </c>
    </row>
    <row r="878" spans="1:9" x14ac:dyDescent="0.2">
      <c r="A878" s="420" t="s">
        <v>415</v>
      </c>
      <c r="B878" s="420" t="s">
        <v>348</v>
      </c>
      <c r="C878" s="420" t="s">
        <v>38</v>
      </c>
      <c r="D878" s="423">
        <v>33523.08</v>
      </c>
      <c r="E878" s="423">
        <v>48241.71</v>
      </c>
      <c r="F878" s="423">
        <v>708898.32</v>
      </c>
      <c r="G878" s="423">
        <f t="shared" si="255"/>
        <v>790663.11</v>
      </c>
      <c r="H878" s="422">
        <f>IF(G868&gt;0,(G878-G868)/G868,0)</f>
        <v>-2.1528600307279371E-2</v>
      </c>
      <c r="I878" s="423">
        <f>G878-G868</f>
        <v>-17396.390000000014</v>
      </c>
    </row>
    <row r="879" spans="1:9" x14ac:dyDescent="0.2">
      <c r="A879" s="420" t="s">
        <v>415</v>
      </c>
      <c r="B879" s="420" t="s">
        <v>348</v>
      </c>
      <c r="C879" s="420" t="s">
        <v>39</v>
      </c>
      <c r="D879" s="423">
        <v>8869.98</v>
      </c>
      <c r="E879" s="423">
        <v>25867.21</v>
      </c>
      <c r="F879" s="423">
        <v>126411.27</v>
      </c>
      <c r="G879" s="423">
        <f t="shared" si="255"/>
        <v>161148.46000000002</v>
      </c>
      <c r="H879" s="422">
        <f>IF(G869&gt;0,(G879-G869)/G869,0)</f>
        <v>-3.9404292637146739E-2</v>
      </c>
      <c r="I879" s="423">
        <f>G879-G869</f>
        <v>-6610.4199999999837</v>
      </c>
    </row>
    <row r="880" spans="1:9" x14ac:dyDescent="0.2">
      <c r="A880" s="420" t="s">
        <v>415</v>
      </c>
      <c r="B880" s="420" t="s">
        <v>350</v>
      </c>
      <c r="C880" s="420" t="s">
        <v>38</v>
      </c>
      <c r="D880" s="423">
        <v>22535.94</v>
      </c>
      <c r="E880" s="423">
        <v>6542.99</v>
      </c>
      <c r="F880" s="423">
        <v>82050.77</v>
      </c>
      <c r="G880" s="423">
        <f t="shared" si="255"/>
        <v>111129.70000000001</v>
      </c>
      <c r="H880" s="422">
        <f>IF(G870&gt;0,(G880-G870)/G870,0)</f>
        <v>0.14011348227587109</v>
      </c>
      <c r="I880" s="423">
        <f>G880-G870</f>
        <v>13657.210000000021</v>
      </c>
    </row>
    <row r="881" spans="1:9" x14ac:dyDescent="0.2">
      <c r="A881" s="420" t="s">
        <v>415</v>
      </c>
      <c r="B881" s="420" t="s">
        <v>350</v>
      </c>
      <c r="C881" s="420" t="s">
        <v>39</v>
      </c>
      <c r="D881" s="421">
        <v>0</v>
      </c>
      <c r="E881" s="421">
        <v>0</v>
      </c>
      <c r="F881" s="421">
        <v>0</v>
      </c>
      <c r="G881" s="423">
        <f t="shared" si="255"/>
        <v>0</v>
      </c>
      <c r="H881" s="422">
        <f>IF(G871&gt;0,(G881-G871)/G871,0)</f>
        <v>0</v>
      </c>
      <c r="I881" s="423">
        <f>G881-G871</f>
        <v>0</v>
      </c>
    </row>
    <row r="882" spans="1:9" x14ac:dyDescent="0.2">
      <c r="G882" s="423">
        <f>SUM(G875:G881)</f>
        <v>1492414.3</v>
      </c>
      <c r="H882" s="422">
        <f>IF(G872&gt;0,(G882-G872)/G872,0)</f>
        <v>2.2689075814523372E-2</v>
      </c>
      <c r="I882" s="423">
        <f>G882-G872</f>
        <v>33110.260000000242</v>
      </c>
    </row>
    <row r="884" spans="1:9" ht="15.75" x14ac:dyDescent="0.25">
      <c r="A884" s="426">
        <v>44500</v>
      </c>
      <c r="B884" s="424" t="s">
        <v>343</v>
      </c>
      <c r="C884" s="424" t="s">
        <v>33</v>
      </c>
      <c r="D884" s="424" t="s">
        <v>34</v>
      </c>
      <c r="E884" s="424" t="s">
        <v>35</v>
      </c>
      <c r="F884" s="424" t="s">
        <v>103</v>
      </c>
      <c r="G884" s="425" t="s">
        <v>9</v>
      </c>
    </row>
    <row r="885" spans="1:9" x14ac:dyDescent="0.2">
      <c r="A885" s="420" t="s">
        <v>415</v>
      </c>
      <c r="B885" s="420" t="s">
        <v>21</v>
      </c>
      <c r="C885" s="420" t="s">
        <v>38</v>
      </c>
      <c r="D885" s="423">
        <v>763625.95</v>
      </c>
      <c r="E885" s="423">
        <v>711.82</v>
      </c>
      <c r="F885" s="423">
        <v>725.04</v>
      </c>
      <c r="G885" s="423">
        <f>SUM(D885:F885)</f>
        <v>765062.80999999994</v>
      </c>
      <c r="H885" s="422">
        <f t="shared" ref="H885:H887" si="257">IF(G875&gt;0,(G885-G875)/G875,0)</f>
        <v>527.57731794942652</v>
      </c>
      <c r="I885" s="423">
        <f>G885-G875</f>
        <v>763615.40999999992</v>
      </c>
    </row>
    <row r="886" spans="1:9" x14ac:dyDescent="0.2">
      <c r="A886" s="420" t="s">
        <v>415</v>
      </c>
      <c r="B886" s="420" t="s">
        <v>351</v>
      </c>
      <c r="C886" s="420" t="s">
        <v>38</v>
      </c>
      <c r="D886" s="423">
        <v>1965.61</v>
      </c>
      <c r="E886" s="423">
        <v>0</v>
      </c>
      <c r="F886" s="423">
        <v>0</v>
      </c>
      <c r="G886" s="423">
        <f t="shared" ref="G886:G891" si="258">SUM(D886:F886)</f>
        <v>1965.61</v>
      </c>
      <c r="H886" s="422">
        <f t="shared" si="257"/>
        <v>-0.98868535565166671</v>
      </c>
      <c r="I886" s="423">
        <f t="shared" ref="I886:I887" si="259">G886-G876</f>
        <v>-171757.04</v>
      </c>
    </row>
    <row r="887" spans="1:9" x14ac:dyDescent="0.2">
      <c r="A887" s="420" t="s">
        <v>415</v>
      </c>
      <c r="B887" s="420" t="s">
        <v>345</v>
      </c>
      <c r="C887" s="420" t="s">
        <v>38</v>
      </c>
      <c r="D887" s="423">
        <v>10609.37</v>
      </c>
      <c r="E887" s="423">
        <v>3836.5</v>
      </c>
      <c r="F887" s="423">
        <v>240959.7</v>
      </c>
      <c r="G887" s="423">
        <f t="shared" si="258"/>
        <v>255405.57</v>
      </c>
      <c r="H887" s="422">
        <f t="shared" si="257"/>
        <v>4.3357336984411136E-3</v>
      </c>
      <c r="I887" s="423">
        <f t="shared" si="259"/>
        <v>1102.5899999999965</v>
      </c>
    </row>
    <row r="888" spans="1:9" x14ac:dyDescent="0.2">
      <c r="A888" s="420" t="s">
        <v>415</v>
      </c>
      <c r="B888" s="420" t="s">
        <v>348</v>
      </c>
      <c r="C888" s="420" t="s">
        <v>38</v>
      </c>
      <c r="D888" s="423">
        <v>42537.49</v>
      </c>
      <c r="E888" s="423">
        <v>26212.83</v>
      </c>
      <c r="F888" s="423">
        <v>715071.49</v>
      </c>
      <c r="G888" s="423">
        <f t="shared" si="258"/>
        <v>783821.81</v>
      </c>
      <c r="H888" s="422">
        <f>IF(G878&gt;0,(G888-G878)/G878,0)</f>
        <v>-8.6526105916335597E-3</v>
      </c>
      <c r="I888" s="423">
        <f>G888-G878</f>
        <v>-6841.2999999999302</v>
      </c>
    </row>
    <row r="889" spans="1:9" x14ac:dyDescent="0.2">
      <c r="A889" s="420" t="s">
        <v>415</v>
      </c>
      <c r="B889" s="420" t="s">
        <v>348</v>
      </c>
      <c r="C889" s="420" t="s">
        <v>39</v>
      </c>
      <c r="D889" s="423">
        <v>15851.07</v>
      </c>
      <c r="E889" s="423">
        <v>6700.07</v>
      </c>
      <c r="F889" s="423">
        <v>137872.32000000001</v>
      </c>
      <c r="G889" s="423">
        <f t="shared" si="258"/>
        <v>160423.46000000002</v>
      </c>
      <c r="H889" s="422">
        <f>IF(G879&gt;0,(G889-G879)/G879,0)</f>
        <v>-4.4989570486742465E-3</v>
      </c>
      <c r="I889" s="423">
        <f>G889-G879</f>
        <v>-725</v>
      </c>
    </row>
    <row r="890" spans="1:9" x14ac:dyDescent="0.2">
      <c r="A890" s="420" t="s">
        <v>415</v>
      </c>
      <c r="B890" s="420" t="s">
        <v>350</v>
      </c>
      <c r="C890" s="420" t="s">
        <v>38</v>
      </c>
      <c r="D890" s="423">
        <v>7366.7</v>
      </c>
      <c r="E890" s="423">
        <v>22164.240000000002</v>
      </c>
      <c r="F890" s="423">
        <v>85527.87</v>
      </c>
      <c r="G890" s="423">
        <f t="shared" si="258"/>
        <v>115058.81</v>
      </c>
      <c r="H890" s="422">
        <f>IF(G880&gt;0,(G890-G880)/G880,0)</f>
        <v>3.5356074928664306E-2</v>
      </c>
      <c r="I890" s="423">
        <f>G890-G880</f>
        <v>3929.109999999986</v>
      </c>
    </row>
    <row r="891" spans="1:9" x14ac:dyDescent="0.2">
      <c r="A891" s="420" t="s">
        <v>415</v>
      </c>
      <c r="B891" s="420" t="s">
        <v>350</v>
      </c>
      <c r="C891" s="420" t="s">
        <v>39</v>
      </c>
      <c r="D891" s="421">
        <v>0</v>
      </c>
      <c r="E891" s="421">
        <v>0</v>
      </c>
      <c r="F891" s="421">
        <v>0</v>
      </c>
      <c r="G891" s="423">
        <f t="shared" si="258"/>
        <v>0</v>
      </c>
      <c r="H891" s="422">
        <f>IF(G881&gt;0,(G891-G881)/G881,0)</f>
        <v>0</v>
      </c>
      <c r="I891" s="423">
        <f>G891-G881</f>
        <v>0</v>
      </c>
    </row>
    <row r="892" spans="1:9" x14ac:dyDescent="0.2">
      <c r="G892" s="423">
        <f>SUM(G885:G891)</f>
        <v>2081738.07</v>
      </c>
      <c r="H892" s="422">
        <f>IF(G882&gt;0,(G892-G882)/G882,0)</f>
        <v>0.3948794714711592</v>
      </c>
      <c r="I892" s="423">
        <f>G892-G882</f>
        <v>589323.77</v>
      </c>
    </row>
    <row r="894" spans="1:9" ht="15.75" x14ac:dyDescent="0.25">
      <c r="A894" s="426">
        <v>44530</v>
      </c>
      <c r="B894" s="424" t="s">
        <v>343</v>
      </c>
      <c r="C894" s="424" t="s">
        <v>33</v>
      </c>
      <c r="D894" s="424" t="s">
        <v>34</v>
      </c>
      <c r="E894" s="424" t="s">
        <v>35</v>
      </c>
      <c r="F894" s="424" t="s">
        <v>103</v>
      </c>
      <c r="G894" s="425" t="s">
        <v>9</v>
      </c>
    </row>
    <row r="895" spans="1:9" x14ac:dyDescent="0.2">
      <c r="A895" s="420" t="s">
        <v>415</v>
      </c>
      <c r="B895" s="420" t="s">
        <v>21</v>
      </c>
      <c r="C895" s="420" t="s">
        <v>38</v>
      </c>
      <c r="D895" s="423">
        <v>2911.4</v>
      </c>
      <c r="E895" s="423">
        <v>763387.07</v>
      </c>
      <c r="F895" s="423">
        <v>1205.4000000000001</v>
      </c>
      <c r="G895" s="423">
        <f>SUM(D895:F895)</f>
        <v>767503.87</v>
      </c>
      <c r="H895" s="422">
        <f t="shared" ref="H895:H897" si="260">IF(G885&gt;0,(G895-G885)/G885,0)</f>
        <v>3.1906661362876287E-3</v>
      </c>
      <c r="I895" s="423">
        <f t="shared" ref="I895:I902" si="261">G895-G885</f>
        <v>2441.0600000000559</v>
      </c>
    </row>
    <row r="896" spans="1:9" x14ac:dyDescent="0.2">
      <c r="A896" s="420" t="s">
        <v>415</v>
      </c>
      <c r="B896" s="420" t="s">
        <v>351</v>
      </c>
      <c r="C896" s="420" t="s">
        <v>38</v>
      </c>
      <c r="D896" s="423">
        <v>0</v>
      </c>
      <c r="E896" s="423">
        <v>0</v>
      </c>
      <c r="F896" s="423">
        <v>0</v>
      </c>
      <c r="G896" s="423">
        <f t="shared" ref="G896:G901" si="262">SUM(D896:F896)</f>
        <v>0</v>
      </c>
      <c r="H896" s="422">
        <f t="shared" si="260"/>
        <v>-1</v>
      </c>
      <c r="I896" s="423">
        <f t="shared" si="261"/>
        <v>-1965.61</v>
      </c>
    </row>
    <row r="897" spans="1:9" x14ac:dyDescent="0.2">
      <c r="A897" s="420" t="s">
        <v>415</v>
      </c>
      <c r="B897" s="420" t="s">
        <v>345</v>
      </c>
      <c r="C897" s="420" t="s">
        <v>38</v>
      </c>
      <c r="D897" s="423">
        <v>11656.9</v>
      </c>
      <c r="E897" s="423">
        <v>7772.23</v>
      </c>
      <c r="F897" s="423">
        <v>237222.58</v>
      </c>
      <c r="G897" s="423">
        <f t="shared" si="262"/>
        <v>256651.71</v>
      </c>
      <c r="H897" s="422">
        <f t="shared" si="260"/>
        <v>4.8790635223812263E-3</v>
      </c>
      <c r="I897" s="423">
        <f t="shared" si="261"/>
        <v>1246.1399999999849</v>
      </c>
    </row>
    <row r="898" spans="1:9" x14ac:dyDescent="0.2">
      <c r="A898" s="420" t="s">
        <v>415</v>
      </c>
      <c r="B898" s="420" t="s">
        <v>348</v>
      </c>
      <c r="C898" s="420" t="s">
        <v>38</v>
      </c>
      <c r="D898" s="423">
        <v>46546.36</v>
      </c>
      <c r="E898" s="423">
        <v>32476.09</v>
      </c>
      <c r="F898" s="423">
        <v>690024.82</v>
      </c>
      <c r="G898" s="423">
        <f t="shared" si="262"/>
        <v>769047.2699999999</v>
      </c>
      <c r="H898" s="422">
        <f>IF(G888&gt;0,(G898-G888)/G888,0)</f>
        <v>-1.8849360672931713E-2</v>
      </c>
      <c r="I898" s="423">
        <f t="shared" si="261"/>
        <v>-14774.540000000154</v>
      </c>
    </row>
    <row r="899" spans="1:9" x14ac:dyDescent="0.2">
      <c r="A899" s="420" t="s">
        <v>415</v>
      </c>
      <c r="B899" s="420" t="s">
        <v>348</v>
      </c>
      <c r="C899" s="420" t="s">
        <v>39</v>
      </c>
      <c r="D899" s="423">
        <v>21153.56</v>
      </c>
      <c r="E899" s="423">
        <v>13451.95</v>
      </c>
      <c r="F899" s="423">
        <v>135575.01</v>
      </c>
      <c r="G899" s="423">
        <f t="shared" si="262"/>
        <v>170180.52000000002</v>
      </c>
      <c r="H899" s="422">
        <f>IF(G889&gt;0,(G899-G889)/G889,0)</f>
        <v>6.0820655532551136E-2</v>
      </c>
      <c r="I899" s="423">
        <f t="shared" si="261"/>
        <v>9757.0599999999977</v>
      </c>
    </row>
    <row r="900" spans="1:9" x14ac:dyDescent="0.2">
      <c r="A900" s="420" t="s">
        <v>415</v>
      </c>
      <c r="B900" s="420" t="s">
        <v>350</v>
      </c>
      <c r="C900" s="420" t="s">
        <v>38</v>
      </c>
      <c r="D900" s="423">
        <v>14347.02</v>
      </c>
      <c r="E900" s="423">
        <v>3864.37</v>
      </c>
      <c r="F900" s="423">
        <v>103522.81</v>
      </c>
      <c r="G900" s="423">
        <f t="shared" si="262"/>
        <v>121734.2</v>
      </c>
      <c r="H900" s="422">
        <f>IF(G890&gt;0,(G900-G890)/G890,0)</f>
        <v>5.801720007359714E-2</v>
      </c>
      <c r="I900" s="423">
        <f t="shared" si="261"/>
        <v>6675.3899999999994</v>
      </c>
    </row>
    <row r="901" spans="1:9" x14ac:dyDescent="0.2">
      <c r="A901" s="420" t="s">
        <v>415</v>
      </c>
      <c r="B901" s="420" t="s">
        <v>350</v>
      </c>
      <c r="C901" s="420" t="s">
        <v>39</v>
      </c>
      <c r="D901" s="421">
        <v>0</v>
      </c>
      <c r="E901" s="421">
        <v>0</v>
      </c>
      <c r="F901" s="421">
        <v>0</v>
      </c>
      <c r="G901" s="423">
        <f t="shared" si="262"/>
        <v>0</v>
      </c>
      <c r="H901" s="422">
        <f>IF(G891&gt;0,(G901-G891)/G891,0)</f>
        <v>0</v>
      </c>
      <c r="I901" s="423">
        <f t="shared" si="261"/>
        <v>0</v>
      </c>
    </row>
    <row r="902" spans="1:9" x14ac:dyDescent="0.2">
      <c r="G902" s="423">
        <f>SUM(G895:G901)</f>
        <v>2085117.5699999998</v>
      </c>
      <c r="H902" s="422">
        <f>IF(G892&gt;0,(G902-G892)/G892,0)</f>
        <v>1.6234030825980749E-3</v>
      </c>
      <c r="I902" s="423">
        <f t="shared" si="261"/>
        <v>3379.4999999997672</v>
      </c>
    </row>
    <row r="904" spans="1:9" ht="15.75" x14ac:dyDescent="0.25">
      <c r="A904" s="426">
        <v>44561</v>
      </c>
      <c r="B904" s="424" t="s">
        <v>343</v>
      </c>
      <c r="C904" s="424" t="s">
        <v>33</v>
      </c>
      <c r="D904" s="424" t="s">
        <v>34</v>
      </c>
      <c r="E904" s="424" t="s">
        <v>35</v>
      </c>
      <c r="F904" s="424" t="s">
        <v>103</v>
      </c>
      <c r="G904" s="425" t="s">
        <v>9</v>
      </c>
    </row>
    <row r="905" spans="1:9" x14ac:dyDescent="0.2">
      <c r="A905" s="420" t="s">
        <v>415</v>
      </c>
      <c r="B905" s="420" t="s">
        <v>21</v>
      </c>
      <c r="C905" s="420" t="s">
        <v>38</v>
      </c>
      <c r="D905" s="423">
        <v>521.51</v>
      </c>
      <c r="E905" s="423">
        <v>503.61</v>
      </c>
      <c r="F905" s="423">
        <v>764582.14</v>
      </c>
      <c r="G905" s="423">
        <f>SUM(D905:F905)</f>
        <v>765607.26</v>
      </c>
      <c r="H905" s="422">
        <f t="shared" ref="H905:H907" si="263">IF(G895&gt;0,(G905-G895)/G895,0)</f>
        <v>-2.4711406341182177E-3</v>
      </c>
      <c r="I905" s="423">
        <f t="shared" ref="I905:I912" si="264">G905-G895</f>
        <v>-1896.609999999986</v>
      </c>
    </row>
    <row r="906" spans="1:9" x14ac:dyDescent="0.2">
      <c r="A906" s="420" t="s">
        <v>415</v>
      </c>
      <c r="B906" s="420" t="s">
        <v>351</v>
      </c>
      <c r="C906" s="420" t="s">
        <v>38</v>
      </c>
      <c r="D906" s="423">
        <v>1407.27</v>
      </c>
      <c r="E906" s="423">
        <v>0</v>
      </c>
      <c r="F906" s="423">
        <v>0</v>
      </c>
      <c r="G906" s="423">
        <f t="shared" ref="G906:G911" si="265">SUM(D906:F906)</f>
        <v>1407.27</v>
      </c>
      <c r="H906" s="422">
        <f t="shared" si="263"/>
        <v>0</v>
      </c>
      <c r="I906" s="423">
        <f t="shared" si="264"/>
        <v>1407.27</v>
      </c>
    </row>
    <row r="907" spans="1:9" x14ac:dyDescent="0.2">
      <c r="A907" s="420" t="s">
        <v>415</v>
      </c>
      <c r="B907" s="420" t="s">
        <v>345</v>
      </c>
      <c r="C907" s="420" t="s">
        <v>38</v>
      </c>
      <c r="D907" s="423">
        <v>18685.13</v>
      </c>
      <c r="E907" s="423">
        <v>11121.16</v>
      </c>
      <c r="F907" s="423">
        <v>234530.42</v>
      </c>
      <c r="G907" s="423">
        <f t="shared" si="265"/>
        <v>264336.71000000002</v>
      </c>
      <c r="H907" s="422">
        <f t="shared" si="263"/>
        <v>2.9943303319506537E-2</v>
      </c>
      <c r="I907" s="423">
        <f t="shared" si="264"/>
        <v>7685.0000000000291</v>
      </c>
    </row>
    <row r="908" spans="1:9" x14ac:dyDescent="0.2">
      <c r="A908" s="420" t="s">
        <v>415</v>
      </c>
      <c r="B908" s="420" t="s">
        <v>348</v>
      </c>
      <c r="C908" s="420" t="s">
        <v>38</v>
      </c>
      <c r="D908" s="423">
        <v>32620.36</v>
      </c>
      <c r="E908" s="423">
        <v>39717.339999999997</v>
      </c>
      <c r="F908" s="423">
        <v>691317.02</v>
      </c>
      <c r="G908" s="423">
        <f t="shared" si="265"/>
        <v>763654.72</v>
      </c>
      <c r="H908" s="422">
        <f>IF(G898&gt;0,(G908-G898)/G898,0)</f>
        <v>-7.0119877026543903E-3</v>
      </c>
      <c r="I908" s="423">
        <f t="shared" si="264"/>
        <v>-5392.5499999999302</v>
      </c>
    </row>
    <row r="909" spans="1:9" x14ac:dyDescent="0.2">
      <c r="A909" s="420" t="s">
        <v>415</v>
      </c>
      <c r="B909" s="420" t="s">
        <v>348</v>
      </c>
      <c r="C909" s="420" t="s">
        <v>39</v>
      </c>
      <c r="D909" s="423">
        <v>12729.67</v>
      </c>
      <c r="E909" s="423">
        <v>18191.05</v>
      </c>
      <c r="F909" s="423">
        <v>141194.68</v>
      </c>
      <c r="G909" s="423">
        <f t="shared" si="265"/>
        <v>172115.4</v>
      </c>
      <c r="H909" s="422">
        <f>IF(G899&gt;0,(G909-G899)/G899,0)</f>
        <v>1.1369573908929032E-2</v>
      </c>
      <c r="I909" s="423">
        <f t="shared" si="264"/>
        <v>1934.8799999999756</v>
      </c>
    </row>
    <row r="910" spans="1:9" x14ac:dyDescent="0.2">
      <c r="A910" s="420" t="s">
        <v>415</v>
      </c>
      <c r="B910" s="420" t="s">
        <v>350</v>
      </c>
      <c r="C910" s="420" t="s">
        <v>38</v>
      </c>
      <c r="D910" s="423">
        <v>18234.46</v>
      </c>
      <c r="E910" s="423">
        <v>12279.1</v>
      </c>
      <c r="F910" s="423">
        <v>104357.37</v>
      </c>
      <c r="G910" s="423">
        <f t="shared" si="265"/>
        <v>134870.93</v>
      </c>
      <c r="H910" s="422">
        <f>IF(G900&gt;0,(G910-G900)/G900,0)</f>
        <v>0.10791322405700285</v>
      </c>
      <c r="I910" s="423">
        <f t="shared" si="264"/>
        <v>13136.729999999996</v>
      </c>
    </row>
    <row r="911" spans="1:9" x14ac:dyDescent="0.2">
      <c r="A911" s="420" t="s">
        <v>415</v>
      </c>
      <c r="B911" s="420" t="s">
        <v>350</v>
      </c>
      <c r="C911" s="420" t="s">
        <v>39</v>
      </c>
      <c r="D911" s="421">
        <v>0</v>
      </c>
      <c r="E911" s="421">
        <v>0</v>
      </c>
      <c r="F911" s="421">
        <v>0</v>
      </c>
      <c r="G911" s="423">
        <f t="shared" si="265"/>
        <v>0</v>
      </c>
      <c r="H911" s="422">
        <f>IF(G901&gt;0,(G911-G901)/G901,0)</f>
        <v>0</v>
      </c>
      <c r="I911" s="423">
        <f t="shared" si="264"/>
        <v>0</v>
      </c>
    </row>
    <row r="912" spans="1:9" x14ac:dyDescent="0.2">
      <c r="G912" s="423">
        <f>SUM(G905:G911)</f>
        <v>2101992.29</v>
      </c>
      <c r="H912" s="422">
        <f>IF(G902&gt;0,(G912-G902)/G902,0)</f>
        <v>8.0929345389383518E-3</v>
      </c>
      <c r="I912" s="423">
        <f t="shared" si="264"/>
        <v>16874.720000000205</v>
      </c>
    </row>
    <row r="914" spans="1:9" ht="15.75" x14ac:dyDescent="0.25">
      <c r="A914" s="426">
        <v>44592</v>
      </c>
      <c r="B914" s="424" t="s">
        <v>343</v>
      </c>
      <c r="C914" s="424" t="s">
        <v>33</v>
      </c>
      <c r="D914" s="424" t="s">
        <v>34</v>
      </c>
      <c r="E914" s="424" t="s">
        <v>35</v>
      </c>
      <c r="F914" s="424" t="s">
        <v>103</v>
      </c>
      <c r="G914" s="425" t="s">
        <v>9</v>
      </c>
    </row>
    <row r="915" spans="1:9" x14ac:dyDescent="0.2">
      <c r="A915" s="420" t="s">
        <v>415</v>
      </c>
      <c r="B915" s="420" t="s">
        <v>21</v>
      </c>
      <c r="C915" s="420" t="s">
        <v>38</v>
      </c>
      <c r="D915" s="423">
        <v>10640.11</v>
      </c>
      <c r="E915" s="423">
        <v>484.94</v>
      </c>
      <c r="F915" s="423">
        <v>765088.19</v>
      </c>
      <c r="G915" s="423">
        <f>SUM(D915:F915)</f>
        <v>776213.24</v>
      </c>
      <c r="H915" s="422">
        <f t="shared" ref="H915:H917" si="266">IF(G905&gt;0,(G915-G905)/G905,0)</f>
        <v>1.3853029554604775E-2</v>
      </c>
      <c r="I915" s="423">
        <f t="shared" ref="I915:I922" si="267">G915-G905</f>
        <v>10605.979999999981</v>
      </c>
    </row>
    <row r="916" spans="1:9" x14ac:dyDescent="0.2">
      <c r="A916" s="420" t="s">
        <v>415</v>
      </c>
      <c r="B916" s="420" t="s">
        <v>351</v>
      </c>
      <c r="C916" s="420" t="s">
        <v>38</v>
      </c>
      <c r="D916" s="423">
        <v>775.82</v>
      </c>
      <c r="E916" s="423">
        <v>0</v>
      </c>
      <c r="F916" s="423">
        <v>0</v>
      </c>
      <c r="G916" s="423">
        <f t="shared" ref="G916:G921" si="268">SUM(D916:F916)</f>
        <v>775.82</v>
      </c>
      <c r="H916" s="422">
        <f t="shared" si="266"/>
        <v>-0.44870564994634998</v>
      </c>
      <c r="I916" s="423">
        <f t="shared" si="267"/>
        <v>-631.44999999999993</v>
      </c>
    </row>
    <row r="917" spans="1:9" x14ac:dyDescent="0.2">
      <c r="A917" s="420" t="s">
        <v>415</v>
      </c>
      <c r="B917" s="420" t="s">
        <v>345</v>
      </c>
      <c r="C917" s="420" t="s">
        <v>38</v>
      </c>
      <c r="D917" s="423">
        <v>7446.71</v>
      </c>
      <c r="E917" s="423">
        <v>6367.29</v>
      </c>
      <c r="F917" s="423">
        <v>212467.35</v>
      </c>
      <c r="G917" s="423">
        <f t="shared" si="268"/>
        <v>226281.35</v>
      </c>
      <c r="H917" s="422">
        <f t="shared" si="266"/>
        <v>-0.14396547494292417</v>
      </c>
      <c r="I917" s="423">
        <f t="shared" si="267"/>
        <v>-38055.360000000015</v>
      </c>
    </row>
    <row r="918" spans="1:9" x14ac:dyDescent="0.2">
      <c r="A918" s="420" t="s">
        <v>415</v>
      </c>
      <c r="B918" s="420" t="s">
        <v>348</v>
      </c>
      <c r="C918" s="420" t="s">
        <v>38</v>
      </c>
      <c r="D918" s="423">
        <v>44408.77</v>
      </c>
      <c r="E918" s="423">
        <v>27071.74</v>
      </c>
      <c r="F918" s="423">
        <v>703947.99</v>
      </c>
      <c r="G918" s="423">
        <f t="shared" si="268"/>
        <v>775428.5</v>
      </c>
      <c r="H918" s="422">
        <f>IF(G908&gt;0,(G918-G908)/G908,0)</f>
        <v>1.5417674626564251E-2</v>
      </c>
      <c r="I918" s="423">
        <f t="shared" si="267"/>
        <v>11773.780000000028</v>
      </c>
    </row>
    <row r="919" spans="1:9" x14ac:dyDescent="0.2">
      <c r="A919" s="420" t="s">
        <v>415</v>
      </c>
      <c r="B919" s="420" t="s">
        <v>348</v>
      </c>
      <c r="C919" s="420" t="s">
        <v>39</v>
      </c>
      <c r="D919" s="423">
        <v>15341.2</v>
      </c>
      <c r="E919" s="423">
        <v>11834.71</v>
      </c>
      <c r="F919" s="423">
        <v>152445.51999999999</v>
      </c>
      <c r="G919" s="423">
        <f t="shared" si="268"/>
        <v>179621.43</v>
      </c>
      <c r="H919" s="422">
        <f>IF(G909&gt;0,(G919-G909)/G909,0)</f>
        <v>4.3610449733144152E-2</v>
      </c>
      <c r="I919" s="423">
        <f t="shared" si="267"/>
        <v>7506.0299999999988</v>
      </c>
    </row>
    <row r="920" spans="1:9" x14ac:dyDescent="0.2">
      <c r="A920" s="420" t="s">
        <v>415</v>
      </c>
      <c r="B920" s="420" t="s">
        <v>350</v>
      </c>
      <c r="C920" s="420" t="s">
        <v>38</v>
      </c>
      <c r="D920" s="423">
        <v>2551.4699999999998</v>
      </c>
      <c r="E920" s="423">
        <v>17828.150000000001</v>
      </c>
      <c r="F920" s="423">
        <v>116415.93</v>
      </c>
      <c r="G920" s="423">
        <f t="shared" si="268"/>
        <v>136795.54999999999</v>
      </c>
      <c r="H920" s="422">
        <f>IF(G910&gt;0,(G920-G910)/G910,0)</f>
        <v>1.4270087705334243E-2</v>
      </c>
      <c r="I920" s="423">
        <f t="shared" si="267"/>
        <v>1924.6199999999953</v>
      </c>
    </row>
    <row r="921" spans="1:9" x14ac:dyDescent="0.2">
      <c r="A921" s="420" t="s">
        <v>415</v>
      </c>
      <c r="B921" s="420" t="s">
        <v>350</v>
      </c>
      <c r="C921" s="420" t="s">
        <v>39</v>
      </c>
      <c r="D921" s="421">
        <v>0</v>
      </c>
      <c r="E921" s="421">
        <v>0</v>
      </c>
      <c r="F921" s="421">
        <v>0</v>
      </c>
      <c r="G921" s="423">
        <f t="shared" si="268"/>
        <v>0</v>
      </c>
      <c r="H921" s="422">
        <f>IF(G911&gt;0,(G921-G911)/G911,0)</f>
        <v>0</v>
      </c>
      <c r="I921" s="423">
        <f t="shared" si="267"/>
        <v>0</v>
      </c>
    </row>
    <row r="922" spans="1:9" x14ac:dyDescent="0.2">
      <c r="G922" s="423">
        <f>SUM(G915:G921)</f>
        <v>2095115.89</v>
      </c>
      <c r="H922" s="422">
        <f>IF(G912&gt;0,(G922-G912)/G912,0)</f>
        <v>-3.2713726081269974E-3</v>
      </c>
      <c r="I922" s="423">
        <f t="shared" si="267"/>
        <v>-6876.4000000001397</v>
      </c>
    </row>
    <row r="924" spans="1:9" ht="15.75" x14ac:dyDescent="0.25">
      <c r="A924" s="426">
        <v>44620</v>
      </c>
      <c r="B924" s="424" t="s">
        <v>343</v>
      </c>
      <c r="C924" s="424" t="s">
        <v>33</v>
      </c>
      <c r="D924" s="424" t="s">
        <v>34</v>
      </c>
      <c r="E924" s="424" t="s">
        <v>35</v>
      </c>
      <c r="F924" s="424" t="s">
        <v>103</v>
      </c>
      <c r="G924" s="425" t="s">
        <v>9</v>
      </c>
    </row>
    <row r="925" spans="1:9" x14ac:dyDescent="0.2">
      <c r="A925" s="420" t="s">
        <v>415</v>
      </c>
      <c r="B925" s="420" t="s">
        <v>21</v>
      </c>
      <c r="C925" s="420" t="s">
        <v>38</v>
      </c>
      <c r="D925" s="423">
        <v>484.86</v>
      </c>
      <c r="E925" s="423">
        <v>555.16</v>
      </c>
      <c r="F925" s="423">
        <v>765575.16</v>
      </c>
      <c r="G925" s="423">
        <f>SUM(D925:F925)</f>
        <v>766615.18</v>
      </c>
      <c r="H925" s="422">
        <f t="shared" ref="H925:H927" si="269">IF(G915&gt;0,(G925-G915)/G915,0)</f>
        <v>-1.2365236130215892E-2</v>
      </c>
      <c r="I925" s="423">
        <f t="shared" ref="I925:I932" si="270">G925-G915</f>
        <v>-9598.0599999999395</v>
      </c>
    </row>
    <row r="926" spans="1:9" x14ac:dyDescent="0.2">
      <c r="A926" s="420" t="s">
        <v>415</v>
      </c>
      <c r="B926" s="420" t="s">
        <v>351</v>
      </c>
      <c r="C926" s="420" t="s">
        <v>38</v>
      </c>
      <c r="D926" s="423">
        <v>69802.67</v>
      </c>
      <c r="E926" s="423">
        <v>777.04</v>
      </c>
      <c r="F926" s="423">
        <v>0</v>
      </c>
      <c r="G926" s="423">
        <f t="shared" ref="G926:G931" si="271">SUM(D926:F926)</f>
        <v>70579.709999999992</v>
      </c>
      <c r="H926" s="422">
        <f t="shared" si="269"/>
        <v>89.974336830708125</v>
      </c>
      <c r="I926" s="423">
        <f t="shared" si="270"/>
        <v>69803.889999999985</v>
      </c>
    </row>
    <row r="927" spans="1:9" x14ac:dyDescent="0.2">
      <c r="A927" s="420" t="s">
        <v>415</v>
      </c>
      <c r="B927" s="420" t="s">
        <v>345</v>
      </c>
      <c r="C927" s="420" t="s">
        <v>38</v>
      </c>
      <c r="D927" s="423">
        <v>14697.29</v>
      </c>
      <c r="E927" s="423">
        <v>6022.12</v>
      </c>
      <c r="F927" s="423">
        <v>216275.19</v>
      </c>
      <c r="G927" s="423">
        <f t="shared" si="271"/>
        <v>236994.6</v>
      </c>
      <c r="H927" s="422">
        <f t="shared" si="269"/>
        <v>4.7344820949671726E-2</v>
      </c>
      <c r="I927" s="423">
        <f t="shared" si="270"/>
        <v>10713.25</v>
      </c>
    </row>
    <row r="928" spans="1:9" x14ac:dyDescent="0.2">
      <c r="A928" s="420" t="s">
        <v>415</v>
      </c>
      <c r="B928" s="420" t="s">
        <v>348</v>
      </c>
      <c r="C928" s="420" t="s">
        <v>38</v>
      </c>
      <c r="D928" s="423">
        <v>63333.13</v>
      </c>
      <c r="E928" s="423">
        <v>27852.880000000001</v>
      </c>
      <c r="F928" s="423">
        <v>708164.55</v>
      </c>
      <c r="G928" s="423">
        <f t="shared" si="271"/>
        <v>799350.56</v>
      </c>
      <c r="H928" s="422">
        <f>IF(G918&gt;0,(G928-G918)/G918,0)</f>
        <v>3.0850117064307098E-2</v>
      </c>
      <c r="I928" s="423">
        <f t="shared" si="270"/>
        <v>23922.060000000056</v>
      </c>
    </row>
    <row r="929" spans="1:9" x14ac:dyDescent="0.2">
      <c r="A929" s="420" t="s">
        <v>415</v>
      </c>
      <c r="B929" s="420" t="s">
        <v>348</v>
      </c>
      <c r="C929" s="420" t="s">
        <v>39</v>
      </c>
      <c r="D929" s="423">
        <v>27452.15</v>
      </c>
      <c r="E929" s="423">
        <v>10961.89</v>
      </c>
      <c r="F929" s="423">
        <v>153710.20000000001</v>
      </c>
      <c r="G929" s="423">
        <f t="shared" si="271"/>
        <v>192124.24000000002</v>
      </c>
      <c r="H929" s="422">
        <f>IF(G919&gt;0,(G929-G919)/G919,0)</f>
        <v>6.9606449519971123E-2</v>
      </c>
      <c r="I929" s="423">
        <f t="shared" si="270"/>
        <v>12502.810000000027</v>
      </c>
    </row>
    <row r="930" spans="1:9" x14ac:dyDescent="0.2">
      <c r="A930" s="420" t="s">
        <v>415</v>
      </c>
      <c r="B930" s="420" t="s">
        <v>350</v>
      </c>
      <c r="C930" s="420" t="s">
        <v>38</v>
      </c>
      <c r="D930" s="423">
        <v>9573.86</v>
      </c>
      <c r="E930" s="423">
        <v>668.14</v>
      </c>
      <c r="F930" s="423">
        <v>50975.03</v>
      </c>
      <c r="G930" s="423">
        <f t="shared" si="271"/>
        <v>61217.03</v>
      </c>
      <c r="H930" s="422">
        <f>IF(G920&gt;0,(G930-G920)/G920,0)</f>
        <v>-0.55249253356560202</v>
      </c>
      <c r="I930" s="423">
        <f t="shared" si="270"/>
        <v>-75578.51999999999</v>
      </c>
    </row>
    <row r="931" spans="1:9" x14ac:dyDescent="0.2">
      <c r="A931" s="420" t="s">
        <v>415</v>
      </c>
      <c r="B931" s="420" t="s">
        <v>350</v>
      </c>
      <c r="C931" s="420" t="s">
        <v>39</v>
      </c>
      <c r="D931" s="421">
        <v>0</v>
      </c>
      <c r="E931" s="421">
        <v>0</v>
      </c>
      <c r="F931" s="421">
        <v>0</v>
      </c>
      <c r="G931" s="423">
        <f t="shared" si="271"/>
        <v>0</v>
      </c>
      <c r="H931" s="422">
        <f>IF(G921&gt;0,(G931-G921)/G921,0)</f>
        <v>0</v>
      </c>
      <c r="I931" s="423">
        <f t="shared" si="270"/>
        <v>0</v>
      </c>
    </row>
    <row r="932" spans="1:9" x14ac:dyDescent="0.2">
      <c r="G932" s="423">
        <f>SUM(G925:G931)</f>
        <v>2126881.3199999998</v>
      </c>
      <c r="H932" s="422">
        <f>IF(G922&gt;0,(G932-G922)/G922,0)</f>
        <v>1.5161657716223008E-2</v>
      </c>
      <c r="I932" s="423">
        <f t="shared" si="270"/>
        <v>31765.429999999935</v>
      </c>
    </row>
    <row r="934" spans="1:9" ht="15.75" x14ac:dyDescent="0.25">
      <c r="A934" s="426">
        <v>44651</v>
      </c>
      <c r="B934" s="424" t="s">
        <v>343</v>
      </c>
      <c r="C934" s="424" t="s">
        <v>33</v>
      </c>
      <c r="D934" s="424" t="s">
        <v>34</v>
      </c>
      <c r="E934" s="424" t="s">
        <v>35</v>
      </c>
      <c r="F934" s="424" t="s">
        <v>103</v>
      </c>
      <c r="G934" s="425" t="s">
        <v>9</v>
      </c>
    </row>
    <row r="935" spans="1:9" x14ac:dyDescent="0.2">
      <c r="A935" s="420" t="s">
        <v>415</v>
      </c>
      <c r="B935" s="420" t="s">
        <v>21</v>
      </c>
      <c r="C935" s="420" t="s">
        <v>38</v>
      </c>
      <c r="D935" s="423">
        <v>751.91</v>
      </c>
      <c r="E935" s="423">
        <v>484.86</v>
      </c>
      <c r="F935" s="423">
        <v>765884.21</v>
      </c>
      <c r="G935" s="423">
        <f>SUM(D935:F935)</f>
        <v>767120.98</v>
      </c>
      <c r="H935" s="422">
        <f t="shared" ref="H935:H937" si="272">IF(G925&gt;0,(G935-G925)/G925,0)</f>
        <v>6.5978343919556896E-4</v>
      </c>
      <c r="I935" s="423">
        <f t="shared" ref="I935:I942" si="273">G935-G925</f>
        <v>505.79999999993015</v>
      </c>
    </row>
    <row r="936" spans="1:9" x14ac:dyDescent="0.2">
      <c r="A936" s="420" t="s">
        <v>415</v>
      </c>
      <c r="B936" s="420" t="s">
        <v>351</v>
      </c>
      <c r="C936" s="420" t="s">
        <v>38</v>
      </c>
      <c r="D936" s="423">
        <v>70679.45</v>
      </c>
      <c r="E936" s="423">
        <v>1244.56</v>
      </c>
      <c r="F936" s="423">
        <v>0</v>
      </c>
      <c r="G936" s="423">
        <f t="shared" ref="G936:G941" si="274">SUM(D936:F936)</f>
        <v>71924.009999999995</v>
      </c>
      <c r="H936" s="422">
        <f t="shared" si="272"/>
        <v>1.9046550347118215E-2</v>
      </c>
      <c r="I936" s="423">
        <f t="shared" si="273"/>
        <v>1344.3000000000029</v>
      </c>
    </row>
    <row r="937" spans="1:9" x14ac:dyDescent="0.2">
      <c r="A937" s="420" t="s">
        <v>415</v>
      </c>
      <c r="B937" s="420" t="s">
        <v>345</v>
      </c>
      <c r="C937" s="420" t="s">
        <v>38</v>
      </c>
      <c r="D937" s="423">
        <v>4591.46</v>
      </c>
      <c r="E937" s="423">
        <v>10852.26</v>
      </c>
      <c r="F937" s="423">
        <v>198254.36</v>
      </c>
      <c r="G937" s="423">
        <f t="shared" si="274"/>
        <v>213698.08</v>
      </c>
      <c r="H937" s="422">
        <f t="shared" si="272"/>
        <v>-9.8299792484723356E-2</v>
      </c>
      <c r="I937" s="423">
        <f t="shared" si="273"/>
        <v>-23296.520000000019</v>
      </c>
    </row>
    <row r="938" spans="1:9" x14ac:dyDescent="0.2">
      <c r="A938" s="420" t="s">
        <v>415</v>
      </c>
      <c r="B938" s="420" t="s">
        <v>348</v>
      </c>
      <c r="C938" s="420" t="s">
        <v>38</v>
      </c>
      <c r="D938" s="423">
        <v>34174.339999999997</v>
      </c>
      <c r="E938" s="423">
        <v>46970.1</v>
      </c>
      <c r="F938" s="423">
        <v>666603.02</v>
      </c>
      <c r="G938" s="423">
        <f t="shared" si="274"/>
        <v>747747.46</v>
      </c>
      <c r="H938" s="422">
        <f>IF(G928&gt;0,(G938-G928)/G928,0)</f>
        <v>-6.4556281789556871E-2</v>
      </c>
      <c r="I938" s="423">
        <f t="shared" si="273"/>
        <v>-51603.100000000093</v>
      </c>
    </row>
    <row r="939" spans="1:9" x14ac:dyDescent="0.2">
      <c r="A939" s="420" t="s">
        <v>415</v>
      </c>
      <c r="B939" s="420" t="s">
        <v>348</v>
      </c>
      <c r="C939" s="420" t="s">
        <v>39</v>
      </c>
      <c r="D939" s="423">
        <v>10054.700000000001</v>
      </c>
      <c r="E939" s="423">
        <v>24279.53</v>
      </c>
      <c r="F939" s="423">
        <v>150689.54999999999</v>
      </c>
      <c r="G939" s="423">
        <f t="shared" si="274"/>
        <v>185023.77999999997</v>
      </c>
      <c r="H939" s="422">
        <f>IF(G929&gt;0,(G939-G929)/G929,0)</f>
        <v>-3.6957647822055399E-2</v>
      </c>
      <c r="I939" s="423">
        <f t="shared" si="273"/>
        <v>-7100.4600000000501</v>
      </c>
    </row>
    <row r="940" spans="1:9" x14ac:dyDescent="0.2">
      <c r="A940" s="420" t="s">
        <v>415</v>
      </c>
      <c r="B940" s="420" t="s">
        <v>350</v>
      </c>
      <c r="C940" s="420" t="s">
        <v>38</v>
      </c>
      <c r="D940" s="423">
        <v>12268.78</v>
      </c>
      <c r="E940" s="423">
        <v>3504.34</v>
      </c>
      <c r="F940" s="423">
        <v>50473.88</v>
      </c>
      <c r="G940" s="423">
        <f t="shared" si="274"/>
        <v>66247</v>
      </c>
      <c r="H940" s="422">
        <f>IF(G930&gt;0,(G940-G930)/G930,0)</f>
        <v>8.2166188068908297E-2</v>
      </c>
      <c r="I940" s="423">
        <f t="shared" si="273"/>
        <v>5029.9700000000012</v>
      </c>
    </row>
    <row r="941" spans="1:9" x14ac:dyDescent="0.2">
      <c r="A941" s="420" t="s">
        <v>415</v>
      </c>
      <c r="B941" s="420" t="s">
        <v>350</v>
      </c>
      <c r="C941" s="420" t="s">
        <v>39</v>
      </c>
      <c r="D941" s="421">
        <v>0</v>
      </c>
      <c r="E941" s="421">
        <v>0</v>
      </c>
      <c r="F941" s="421">
        <v>0</v>
      </c>
      <c r="G941" s="423">
        <f t="shared" si="274"/>
        <v>0</v>
      </c>
      <c r="H941" s="422">
        <f>IF(G931&gt;0,(G941-G931)/G931,0)</f>
        <v>0</v>
      </c>
      <c r="I941" s="423">
        <f t="shared" si="273"/>
        <v>0</v>
      </c>
    </row>
    <row r="942" spans="1:9" x14ac:dyDescent="0.2">
      <c r="G942" s="423">
        <f>SUM(G935:G941)</f>
        <v>2051761.31</v>
      </c>
      <c r="H942" s="422">
        <f>IF(G932&gt;0,(G942-G932)/G932,0)</f>
        <v>-3.5319323788127389E-2</v>
      </c>
      <c r="I942" s="423">
        <f t="shared" si="273"/>
        <v>-75120.009999999776</v>
      </c>
    </row>
    <row r="944" spans="1:9" ht="15.75" x14ac:dyDescent="0.25">
      <c r="A944" s="426">
        <v>44681</v>
      </c>
      <c r="B944" s="424" t="s">
        <v>343</v>
      </c>
      <c r="C944" s="424" t="s">
        <v>33</v>
      </c>
      <c r="D944" s="424" t="s">
        <v>34</v>
      </c>
      <c r="E944" s="424" t="s">
        <v>35</v>
      </c>
      <c r="F944" s="424" t="s">
        <v>103</v>
      </c>
      <c r="G944" s="425" t="s">
        <v>9</v>
      </c>
    </row>
    <row r="945" spans="1:9" x14ac:dyDescent="0.2">
      <c r="A945" s="420" t="s">
        <v>415</v>
      </c>
      <c r="B945" s="420" t="s">
        <v>21</v>
      </c>
      <c r="C945" s="420" t="s">
        <v>38</v>
      </c>
      <c r="D945" s="423">
        <v>604.76</v>
      </c>
      <c r="E945" s="423">
        <v>751.09</v>
      </c>
      <c r="F945" s="423">
        <v>766369.07</v>
      </c>
      <c r="G945" s="423">
        <f>SUM(D945:F945)</f>
        <v>767724.91999999993</v>
      </c>
      <c r="H945" s="422">
        <f t="shared" ref="H945:H947" si="275">IF(G935&gt;0,(G945-G935)/G935,0)</f>
        <v>7.8728129688219995E-4</v>
      </c>
      <c r="I945" s="423">
        <f t="shared" ref="I945:I952" si="276">G945-G935</f>
        <v>603.93999999994412</v>
      </c>
    </row>
    <row r="946" spans="1:9" x14ac:dyDescent="0.2">
      <c r="A946" s="420" t="s">
        <v>415</v>
      </c>
      <c r="B946" s="420" t="s">
        <v>351</v>
      </c>
      <c r="C946" s="420" t="s">
        <v>38</v>
      </c>
      <c r="D946" s="423">
        <v>0</v>
      </c>
      <c r="E946" s="423">
        <v>0</v>
      </c>
      <c r="F946" s="423">
        <v>0</v>
      </c>
      <c r="G946" s="423">
        <f t="shared" ref="G946:G951" si="277">SUM(D946:F946)</f>
        <v>0</v>
      </c>
      <c r="H946" s="422">
        <f t="shared" si="275"/>
        <v>-1</v>
      </c>
      <c r="I946" s="423">
        <f t="shared" si="276"/>
        <v>-71924.009999999995</v>
      </c>
    </row>
    <row r="947" spans="1:9" x14ac:dyDescent="0.2">
      <c r="A947" s="420" t="s">
        <v>415</v>
      </c>
      <c r="B947" s="420" t="s">
        <v>345</v>
      </c>
      <c r="C947" s="420" t="s">
        <v>38</v>
      </c>
      <c r="D947" s="423">
        <v>3091.39</v>
      </c>
      <c r="E947" s="423">
        <v>3435.23</v>
      </c>
      <c r="F947" s="423">
        <v>199199.07</v>
      </c>
      <c r="G947" s="423">
        <f t="shared" si="277"/>
        <v>205725.69</v>
      </c>
      <c r="H947" s="422">
        <f t="shared" si="275"/>
        <v>-3.730679283594867E-2</v>
      </c>
      <c r="I947" s="423">
        <f t="shared" si="276"/>
        <v>-7972.3899999999849</v>
      </c>
    </row>
    <row r="948" spans="1:9" x14ac:dyDescent="0.2">
      <c r="A948" s="420" t="s">
        <v>415</v>
      </c>
      <c r="B948" s="420" t="s">
        <v>348</v>
      </c>
      <c r="C948" s="420" t="s">
        <v>38</v>
      </c>
      <c r="D948" s="423">
        <v>26185.29</v>
      </c>
      <c r="E948" s="423">
        <v>29414.880000000001</v>
      </c>
      <c r="F948" s="423">
        <v>680666.52</v>
      </c>
      <c r="G948" s="423">
        <f t="shared" si="277"/>
        <v>736266.69000000006</v>
      </c>
      <c r="H948" s="422">
        <f>IF(G938&gt;0,(G948-G938)/G938,0)</f>
        <v>-1.535380675181418E-2</v>
      </c>
      <c r="I948" s="423">
        <f t="shared" si="276"/>
        <v>-11480.769999999902</v>
      </c>
    </row>
    <row r="949" spans="1:9" x14ac:dyDescent="0.2">
      <c r="A949" s="420" t="s">
        <v>415</v>
      </c>
      <c r="B949" s="420" t="s">
        <v>348</v>
      </c>
      <c r="C949" s="420" t="s">
        <v>39</v>
      </c>
      <c r="D949" s="423">
        <v>7991.02</v>
      </c>
      <c r="E949" s="423">
        <v>8677.52</v>
      </c>
      <c r="F949" s="423">
        <v>153899.28</v>
      </c>
      <c r="G949" s="423">
        <f t="shared" si="277"/>
        <v>170567.82</v>
      </c>
      <c r="H949" s="422">
        <f>IF(G939&gt;0,(G949-G939)/G939,0)</f>
        <v>-7.8130281415718372E-2</v>
      </c>
      <c r="I949" s="423">
        <f t="shared" si="276"/>
        <v>-14455.959999999963</v>
      </c>
    </row>
    <row r="950" spans="1:9" x14ac:dyDescent="0.2">
      <c r="A950" s="420" t="s">
        <v>415</v>
      </c>
      <c r="B950" s="420" t="s">
        <v>350</v>
      </c>
      <c r="C950" s="420" t="s">
        <v>38</v>
      </c>
      <c r="D950" s="423">
        <v>1252.18</v>
      </c>
      <c r="E950" s="423">
        <v>6782.27</v>
      </c>
      <c r="F950" s="423">
        <v>47929.58</v>
      </c>
      <c r="G950" s="423">
        <f t="shared" si="277"/>
        <v>55964.03</v>
      </c>
      <c r="H950" s="422">
        <f>IF(G940&gt;0,(G950-G940)/G940,0)</f>
        <v>-0.15522167041526411</v>
      </c>
      <c r="I950" s="423">
        <f t="shared" si="276"/>
        <v>-10282.970000000001</v>
      </c>
    </row>
    <row r="951" spans="1:9" x14ac:dyDescent="0.2">
      <c r="A951" s="420" t="s">
        <v>415</v>
      </c>
      <c r="B951" s="420" t="s">
        <v>350</v>
      </c>
      <c r="C951" s="420" t="s">
        <v>39</v>
      </c>
      <c r="D951" s="421">
        <v>0</v>
      </c>
      <c r="E951" s="421">
        <v>0</v>
      </c>
      <c r="F951" s="421">
        <v>0</v>
      </c>
      <c r="G951" s="423">
        <f t="shared" si="277"/>
        <v>0</v>
      </c>
      <c r="H951" s="422">
        <f>IF(G941&gt;0,(G951-G941)/G941,0)</f>
        <v>0</v>
      </c>
      <c r="I951" s="423">
        <f t="shared" si="276"/>
        <v>0</v>
      </c>
    </row>
    <row r="952" spans="1:9" x14ac:dyDescent="0.2">
      <c r="G952" s="423">
        <f>SUM(G945:G951)</f>
        <v>1936249.15</v>
      </c>
      <c r="H952" s="422">
        <f>IF(G942&gt;0,(G952-G942)/G942,0)</f>
        <v>-5.629902437335664E-2</v>
      </c>
      <c r="I952" s="423">
        <f t="shared" si="276"/>
        <v>-115512.16000000015</v>
      </c>
    </row>
    <row r="954" spans="1:9" ht="15.75" x14ac:dyDescent="0.25">
      <c r="A954" s="426">
        <v>44712</v>
      </c>
      <c r="B954" s="424" t="s">
        <v>343</v>
      </c>
      <c r="C954" s="424" t="s">
        <v>33</v>
      </c>
      <c r="D954" s="424" t="s">
        <v>34</v>
      </c>
      <c r="E954" s="424" t="s">
        <v>35</v>
      </c>
      <c r="F954" s="424" t="s">
        <v>103</v>
      </c>
      <c r="G954" s="425" t="s">
        <v>9</v>
      </c>
    </row>
    <row r="955" spans="1:9" x14ac:dyDescent="0.2">
      <c r="A955" s="420" t="s">
        <v>415</v>
      </c>
      <c r="B955" s="420" t="s">
        <v>21</v>
      </c>
      <c r="C955" s="420" t="s">
        <v>38</v>
      </c>
      <c r="D955" s="423">
        <v>8374.01</v>
      </c>
      <c r="E955" s="423">
        <v>0</v>
      </c>
      <c r="F955" s="423">
        <v>763377.16</v>
      </c>
      <c r="G955" s="423">
        <f>SUM(D955:F955)</f>
        <v>771751.17</v>
      </c>
      <c r="H955" s="422">
        <f t="shared" ref="H955:H957" si="278">IF(G945&gt;0,(G955-G945)/G945,0)</f>
        <v>5.2443914416639191E-3</v>
      </c>
      <c r="I955" s="423">
        <f t="shared" ref="I955:I962" si="279">G955-G945</f>
        <v>4026.2500000001164</v>
      </c>
    </row>
    <row r="956" spans="1:9" x14ac:dyDescent="0.2">
      <c r="A956" s="420" t="s">
        <v>415</v>
      </c>
      <c r="B956" s="420" t="s">
        <v>351</v>
      </c>
      <c r="C956" s="420" t="s">
        <v>38</v>
      </c>
      <c r="D956" s="423">
        <v>1458.93</v>
      </c>
      <c r="E956" s="423">
        <v>0</v>
      </c>
      <c r="F956" s="423">
        <v>0</v>
      </c>
      <c r="G956" s="423">
        <f t="shared" ref="G956:G961" si="280">SUM(D956:F956)</f>
        <v>1458.93</v>
      </c>
      <c r="H956" s="422">
        <f t="shared" si="278"/>
        <v>0</v>
      </c>
      <c r="I956" s="423">
        <f t="shared" si="279"/>
        <v>1458.93</v>
      </c>
    </row>
    <row r="957" spans="1:9" x14ac:dyDescent="0.2">
      <c r="A957" s="420" t="s">
        <v>415</v>
      </c>
      <c r="B957" s="420" t="s">
        <v>345</v>
      </c>
      <c r="C957" s="420" t="s">
        <v>38</v>
      </c>
      <c r="D957" s="423">
        <v>6361.86</v>
      </c>
      <c r="E957" s="423">
        <v>1786.83</v>
      </c>
      <c r="F957" s="423">
        <v>198531.74</v>
      </c>
      <c r="G957" s="423">
        <f t="shared" si="280"/>
        <v>206680.43</v>
      </c>
      <c r="H957" s="422">
        <f t="shared" si="278"/>
        <v>4.6408399456576892E-3</v>
      </c>
      <c r="I957" s="423">
        <f t="shared" si="279"/>
        <v>954.73999999999069</v>
      </c>
    </row>
    <row r="958" spans="1:9" x14ac:dyDescent="0.2">
      <c r="A958" s="420" t="s">
        <v>415</v>
      </c>
      <c r="B958" s="420" t="s">
        <v>348</v>
      </c>
      <c r="C958" s="420" t="s">
        <v>38</v>
      </c>
      <c r="D958" s="423">
        <v>56694.48</v>
      </c>
      <c r="E958" s="423">
        <v>20093.71</v>
      </c>
      <c r="F958" s="423">
        <v>672432.69</v>
      </c>
      <c r="G958" s="423">
        <f t="shared" si="280"/>
        <v>749220.87999999989</v>
      </c>
      <c r="H958" s="422">
        <f>IF(G948&gt;0,(G958-G948)/G948,0)</f>
        <v>1.7594426280509615E-2</v>
      </c>
      <c r="I958" s="423">
        <f t="shared" si="279"/>
        <v>12954.189999999828</v>
      </c>
    </row>
    <row r="959" spans="1:9" x14ac:dyDescent="0.2">
      <c r="A959" s="420" t="s">
        <v>415</v>
      </c>
      <c r="B959" s="420" t="s">
        <v>348</v>
      </c>
      <c r="C959" s="420" t="s">
        <v>39</v>
      </c>
      <c r="D959" s="423">
        <v>30201.84</v>
      </c>
      <c r="E959" s="423">
        <v>6622.04</v>
      </c>
      <c r="F959" s="423">
        <v>140804.76999999999</v>
      </c>
      <c r="G959" s="423">
        <f t="shared" si="280"/>
        <v>177628.65</v>
      </c>
      <c r="H959" s="422">
        <f>IF(G949&gt;0,(G959-G949)/G949,0)</f>
        <v>4.1396026518952911E-2</v>
      </c>
      <c r="I959" s="423">
        <f t="shared" si="279"/>
        <v>7060.8299999999872</v>
      </c>
    </row>
    <row r="960" spans="1:9" x14ac:dyDescent="0.2">
      <c r="A960" s="420" t="s">
        <v>415</v>
      </c>
      <c r="B960" s="420" t="s">
        <v>350</v>
      </c>
      <c r="C960" s="420" t="s">
        <v>38</v>
      </c>
      <c r="D960" s="423">
        <v>17757.03</v>
      </c>
      <c r="E960" s="423">
        <v>294.52</v>
      </c>
      <c r="F960" s="423">
        <v>52781.8</v>
      </c>
      <c r="G960" s="423">
        <f t="shared" si="280"/>
        <v>70833.350000000006</v>
      </c>
      <c r="H960" s="422">
        <f>IF(G950&gt;0,(G960-G950)/G950,0)</f>
        <v>0.26569423252757185</v>
      </c>
      <c r="I960" s="423">
        <f t="shared" si="279"/>
        <v>14869.320000000007</v>
      </c>
    </row>
    <row r="961" spans="1:9" x14ac:dyDescent="0.2">
      <c r="A961" s="420" t="s">
        <v>415</v>
      </c>
      <c r="B961" s="420" t="s">
        <v>350</v>
      </c>
      <c r="C961" s="420" t="s">
        <v>39</v>
      </c>
      <c r="D961" s="421">
        <v>0</v>
      </c>
      <c r="E961" s="421">
        <v>0</v>
      </c>
      <c r="F961" s="421">
        <v>0</v>
      </c>
      <c r="G961" s="423">
        <f t="shared" si="280"/>
        <v>0</v>
      </c>
      <c r="H961" s="422">
        <f>IF(G951&gt;0,(G961-G951)/G951,0)</f>
        <v>0</v>
      </c>
      <c r="I961" s="423">
        <f t="shared" si="279"/>
        <v>0</v>
      </c>
    </row>
    <row r="962" spans="1:9" x14ac:dyDescent="0.2">
      <c r="G962" s="423">
        <f>SUM(G955:G961)</f>
        <v>1977573.41</v>
      </c>
      <c r="H962" s="422">
        <f>IF(G952&gt;0,(G962-G952)/G952,0)</f>
        <v>2.1342428994739655E-2</v>
      </c>
      <c r="I962" s="423">
        <f t="shared" si="279"/>
        <v>41324.260000000009</v>
      </c>
    </row>
    <row r="964" spans="1:9" ht="15.75" x14ac:dyDescent="0.25">
      <c r="A964" s="426">
        <v>44742</v>
      </c>
      <c r="B964" s="424" t="s">
        <v>343</v>
      </c>
      <c r="C964" s="424" t="s">
        <v>33</v>
      </c>
      <c r="D964" s="424" t="s">
        <v>34</v>
      </c>
      <c r="E964" s="424" t="s">
        <v>35</v>
      </c>
      <c r="F964" s="424" t="s">
        <v>103</v>
      </c>
      <c r="G964" s="425" t="s">
        <v>9</v>
      </c>
    </row>
    <row r="965" spans="1:9" x14ac:dyDescent="0.2">
      <c r="A965" s="420" t="s">
        <v>415</v>
      </c>
      <c r="B965" s="420" t="s">
        <v>21</v>
      </c>
      <c r="C965" s="420" t="s">
        <v>38</v>
      </c>
      <c r="D965" s="423">
        <v>3.26</v>
      </c>
      <c r="E965" s="423">
        <v>9.31</v>
      </c>
      <c r="F965" s="423">
        <v>762888.37</v>
      </c>
      <c r="G965" s="423">
        <f>SUM(D965:F965)</f>
        <v>762900.94</v>
      </c>
      <c r="H965" s="422">
        <f t="shared" ref="H965:H967" si="281">IF(G955&gt;0,(G965-G955)/G955,0)</f>
        <v>-1.1467724759005026E-2</v>
      </c>
      <c r="I965" s="423">
        <f t="shared" ref="I965:I972" si="282">G965-G955</f>
        <v>-8850.2300000000978</v>
      </c>
    </row>
    <row r="966" spans="1:9" x14ac:dyDescent="0.2">
      <c r="A966" s="420" t="s">
        <v>415</v>
      </c>
      <c r="B966" s="420" t="s">
        <v>351</v>
      </c>
      <c r="C966" s="420" t="s">
        <v>38</v>
      </c>
      <c r="D966" s="423">
        <v>71596.2</v>
      </c>
      <c r="E966" s="423">
        <v>1463.43</v>
      </c>
      <c r="F966" s="423">
        <v>0</v>
      </c>
      <c r="G966" s="423">
        <f t="shared" ref="G966:G971" si="283">SUM(D966:F966)</f>
        <v>73059.62999999999</v>
      </c>
      <c r="H966" s="422">
        <f t="shared" si="281"/>
        <v>49.077543130924717</v>
      </c>
      <c r="I966" s="423">
        <f t="shared" si="282"/>
        <v>71600.7</v>
      </c>
    </row>
    <row r="967" spans="1:9" x14ac:dyDescent="0.2">
      <c r="A967" s="420" t="s">
        <v>415</v>
      </c>
      <c r="B967" s="420" t="s">
        <v>345</v>
      </c>
      <c r="C967" s="420" t="s">
        <v>38</v>
      </c>
      <c r="D967" s="423">
        <v>8039.37</v>
      </c>
      <c r="E967" s="423">
        <v>3959.68</v>
      </c>
      <c r="F967" s="423">
        <v>197340.44</v>
      </c>
      <c r="G967" s="423">
        <f t="shared" si="283"/>
        <v>209339.49</v>
      </c>
      <c r="H967" s="422">
        <f t="shared" si="281"/>
        <v>1.2865562549874691E-2</v>
      </c>
      <c r="I967" s="423">
        <f t="shared" si="282"/>
        <v>2659.0599999999977</v>
      </c>
    </row>
    <row r="968" spans="1:9" x14ac:dyDescent="0.2">
      <c r="A968" s="420" t="s">
        <v>415</v>
      </c>
      <c r="B968" s="420" t="s">
        <v>348</v>
      </c>
      <c r="C968" s="420" t="s">
        <v>38</v>
      </c>
      <c r="D968" s="423">
        <v>60029.760000000002</v>
      </c>
      <c r="E968" s="423">
        <v>42032.27</v>
      </c>
      <c r="F968" s="423">
        <v>654877.59</v>
      </c>
      <c r="G968" s="423">
        <f t="shared" si="283"/>
        <v>756939.62</v>
      </c>
      <c r="H968" s="422">
        <f>IF(G958&gt;0,(G968-G958)/G958,0)</f>
        <v>1.0302355695159094E-2</v>
      </c>
      <c r="I968" s="423">
        <f t="shared" si="282"/>
        <v>7718.7400000001071</v>
      </c>
    </row>
    <row r="969" spans="1:9" x14ac:dyDescent="0.2">
      <c r="A969" s="420" t="s">
        <v>415</v>
      </c>
      <c r="B969" s="420" t="s">
        <v>348</v>
      </c>
      <c r="C969" s="420" t="s">
        <v>39</v>
      </c>
      <c r="D969" s="423">
        <v>20295.099999999999</v>
      </c>
      <c r="E969" s="423">
        <v>23617.73</v>
      </c>
      <c r="F969" s="423">
        <v>130595.11</v>
      </c>
      <c r="G969" s="423">
        <f t="shared" si="283"/>
        <v>174507.94</v>
      </c>
      <c r="H969" s="422">
        <f>IF(G959&gt;0,(G969-G959)/G959,0)</f>
        <v>-1.7568731170337623E-2</v>
      </c>
      <c r="I969" s="423">
        <f t="shared" si="282"/>
        <v>-3120.7099999999919</v>
      </c>
    </row>
    <row r="970" spans="1:9" x14ac:dyDescent="0.2">
      <c r="A970" s="420" t="s">
        <v>415</v>
      </c>
      <c r="B970" s="420" t="s">
        <v>350</v>
      </c>
      <c r="C970" s="420" t="s">
        <v>38</v>
      </c>
      <c r="D970" s="423">
        <v>8603.59</v>
      </c>
      <c r="E970" s="423">
        <v>11318.19</v>
      </c>
      <c r="F970" s="423">
        <v>50110.54</v>
      </c>
      <c r="G970" s="423">
        <f t="shared" si="283"/>
        <v>70032.320000000007</v>
      </c>
      <c r="H970" s="422">
        <f>IF(G960&gt;0,(G970-G960)/G960,0)</f>
        <v>-1.1308656162669121E-2</v>
      </c>
      <c r="I970" s="423">
        <f t="shared" si="282"/>
        <v>-801.02999999999884</v>
      </c>
    </row>
    <row r="971" spans="1:9" x14ac:dyDescent="0.2">
      <c r="A971" s="420" t="s">
        <v>415</v>
      </c>
      <c r="B971" s="420" t="s">
        <v>350</v>
      </c>
      <c r="C971" s="420" t="s">
        <v>39</v>
      </c>
      <c r="D971" s="421">
        <v>0</v>
      </c>
      <c r="E971" s="421">
        <v>0</v>
      </c>
      <c r="F971" s="421">
        <v>0</v>
      </c>
      <c r="G971" s="423">
        <f t="shared" si="283"/>
        <v>0</v>
      </c>
      <c r="H971" s="422">
        <f>IF(G961&gt;0,(G971-G961)/G961,0)</f>
        <v>0</v>
      </c>
      <c r="I971" s="423">
        <f t="shared" si="282"/>
        <v>0</v>
      </c>
    </row>
    <row r="972" spans="1:9" x14ac:dyDescent="0.2">
      <c r="G972" s="423">
        <f>SUM(G965:G971)</f>
        <v>2046779.94</v>
      </c>
      <c r="H972" s="422">
        <f>IF(G962&gt;0,(G972-G962)/G962,0)</f>
        <v>3.4995681904926114E-2</v>
      </c>
      <c r="I972" s="423">
        <f t="shared" si="282"/>
        <v>69206.530000000028</v>
      </c>
    </row>
    <row r="974" spans="1:9" ht="15.75" x14ac:dyDescent="0.25">
      <c r="A974" s="426">
        <v>44773</v>
      </c>
      <c r="B974" s="424" t="s">
        <v>343</v>
      </c>
      <c r="C974" s="424" t="s">
        <v>33</v>
      </c>
      <c r="D974" s="424" t="s">
        <v>34</v>
      </c>
      <c r="E974" s="424" t="s">
        <v>35</v>
      </c>
      <c r="F974" s="424" t="s">
        <v>103</v>
      </c>
      <c r="G974" s="425" t="s">
        <v>9</v>
      </c>
    </row>
    <row r="975" spans="1:9" x14ac:dyDescent="0.2">
      <c r="A975" s="420" t="s">
        <v>434</v>
      </c>
      <c r="B975" s="420" t="s">
        <v>21</v>
      </c>
      <c r="C975" s="420" t="s">
        <v>38</v>
      </c>
      <c r="D975" s="423">
        <v>2414.0500000000002</v>
      </c>
      <c r="E975" s="423">
        <v>1.7</v>
      </c>
      <c r="F975" s="423">
        <v>741287.21</v>
      </c>
      <c r="G975" s="423">
        <f>SUM(D975:F975)</f>
        <v>743702.96</v>
      </c>
      <c r="H975" s="422">
        <f t="shared" ref="H975:H977" si="284">IF(G965&gt;0,(G975-G965)/G965,0)</f>
        <v>-2.5164446644933985E-2</v>
      </c>
      <c r="I975" s="423">
        <f t="shared" ref="I975:I982" si="285">G975-G965</f>
        <v>-19197.979999999981</v>
      </c>
    </row>
    <row r="976" spans="1:9" x14ac:dyDescent="0.2">
      <c r="A976" s="420" t="s">
        <v>434</v>
      </c>
      <c r="B976" s="420" t="s">
        <v>351</v>
      </c>
      <c r="C976" s="420" t="s">
        <v>38</v>
      </c>
      <c r="D976" s="423">
        <v>96188.11</v>
      </c>
      <c r="E976" s="423">
        <v>2359.17</v>
      </c>
      <c r="F976" s="423">
        <v>0</v>
      </c>
      <c r="G976" s="423">
        <f t="shared" ref="G976:G981" si="286">SUM(D976:F976)</f>
        <v>98547.28</v>
      </c>
      <c r="H976" s="422">
        <f t="shared" si="284"/>
        <v>0.34886092360445858</v>
      </c>
      <c r="I976" s="423">
        <f t="shared" si="285"/>
        <v>25487.650000000009</v>
      </c>
    </row>
    <row r="977" spans="1:9" x14ac:dyDescent="0.2">
      <c r="A977" s="420" t="s">
        <v>434</v>
      </c>
      <c r="B977" s="420" t="s">
        <v>345</v>
      </c>
      <c r="C977" s="420" t="s">
        <v>38</v>
      </c>
      <c r="D977" s="423">
        <v>7047.72</v>
      </c>
      <c r="E977" s="423">
        <v>7050.85</v>
      </c>
      <c r="F977" s="423">
        <v>199255.8</v>
      </c>
      <c r="G977" s="423">
        <f t="shared" si="286"/>
        <v>213354.37</v>
      </c>
      <c r="H977" s="422">
        <f t="shared" si="284"/>
        <v>1.9178798992965946E-2</v>
      </c>
      <c r="I977" s="423">
        <f t="shared" si="285"/>
        <v>4014.8800000000047</v>
      </c>
    </row>
    <row r="978" spans="1:9" x14ac:dyDescent="0.2">
      <c r="A978" s="420" t="s">
        <v>434</v>
      </c>
      <c r="B978" s="420" t="s">
        <v>348</v>
      </c>
      <c r="C978" s="420" t="s">
        <v>38</v>
      </c>
      <c r="D978" s="423">
        <v>42827.13</v>
      </c>
      <c r="E978" s="423">
        <v>43418.080000000002</v>
      </c>
      <c r="F978" s="423">
        <v>658560.03</v>
      </c>
      <c r="G978" s="423">
        <f t="shared" si="286"/>
        <v>744805.24</v>
      </c>
      <c r="H978" s="422">
        <f>IF(G968&gt;0,(G978-G968)/G968,0)</f>
        <v>-1.6030842724284938E-2</v>
      </c>
      <c r="I978" s="423">
        <f t="shared" si="285"/>
        <v>-12134.380000000005</v>
      </c>
    </row>
    <row r="979" spans="1:9" x14ac:dyDescent="0.2">
      <c r="A979" s="420" t="s">
        <v>434</v>
      </c>
      <c r="B979" s="420" t="s">
        <v>348</v>
      </c>
      <c r="C979" s="420" t="s">
        <v>39</v>
      </c>
      <c r="D979" s="423">
        <v>14041.48</v>
      </c>
      <c r="E979" s="423">
        <v>16080.62</v>
      </c>
      <c r="F979" s="423">
        <v>133825.94</v>
      </c>
      <c r="G979" s="423">
        <f t="shared" si="286"/>
        <v>163948.04</v>
      </c>
      <c r="H979" s="422">
        <f>IF(G969&gt;0,(G979-G969)/G969,0)</f>
        <v>-6.0512432844029872E-2</v>
      </c>
      <c r="I979" s="423">
        <f t="shared" si="285"/>
        <v>-10559.899999999994</v>
      </c>
    </row>
    <row r="980" spans="1:9" x14ac:dyDescent="0.2">
      <c r="A980" s="420" t="s">
        <v>434</v>
      </c>
      <c r="B980" s="420" t="s">
        <v>350</v>
      </c>
      <c r="C980" s="420" t="s">
        <v>38</v>
      </c>
      <c r="D980" s="423">
        <v>4655.55</v>
      </c>
      <c r="E980" s="423">
        <v>7998.7</v>
      </c>
      <c r="F980" s="423">
        <v>52504.92</v>
      </c>
      <c r="G980" s="423">
        <f t="shared" si="286"/>
        <v>65159.17</v>
      </c>
      <c r="H980" s="422">
        <f>IF(G970&gt;0,(G980-G970)/G970,0)</f>
        <v>-6.9584300505823718E-2</v>
      </c>
      <c r="I980" s="423">
        <f t="shared" si="285"/>
        <v>-4873.1500000000087</v>
      </c>
    </row>
    <row r="981" spans="1:9" x14ac:dyDescent="0.2">
      <c r="A981" s="420" t="s">
        <v>415</v>
      </c>
      <c r="B981" s="420" t="s">
        <v>350</v>
      </c>
      <c r="C981" s="420" t="s">
        <v>39</v>
      </c>
      <c r="D981" s="421">
        <v>0</v>
      </c>
      <c r="E981" s="421">
        <v>0</v>
      </c>
      <c r="F981" s="421">
        <v>0</v>
      </c>
      <c r="G981" s="423">
        <f t="shared" si="286"/>
        <v>0</v>
      </c>
      <c r="H981" s="422">
        <f>IF(G971&gt;0,(G981-G971)/G971,0)</f>
        <v>0</v>
      </c>
      <c r="I981" s="423">
        <f t="shared" si="285"/>
        <v>0</v>
      </c>
    </row>
    <row r="982" spans="1:9" x14ac:dyDescent="0.2">
      <c r="G982" s="423">
        <f>SUM(G975:G981)</f>
        <v>2029517.0599999998</v>
      </c>
      <c r="H982" s="422">
        <f>IF(G972&gt;0,(G982-G972)/G972,0)</f>
        <v>-8.4341651306198175E-3</v>
      </c>
      <c r="I982" s="423">
        <f t="shared" si="285"/>
        <v>-17262.880000000121</v>
      </c>
    </row>
    <row r="984" spans="1:9" ht="15.75" x14ac:dyDescent="0.25">
      <c r="A984" s="426">
        <v>44804</v>
      </c>
      <c r="B984" s="424" t="s">
        <v>343</v>
      </c>
      <c r="C984" s="424" t="s">
        <v>33</v>
      </c>
      <c r="D984" s="424" t="s">
        <v>34</v>
      </c>
      <c r="E984" s="424" t="s">
        <v>35</v>
      </c>
      <c r="F984" s="424" t="s">
        <v>103</v>
      </c>
      <c r="G984" s="425" t="s">
        <v>9</v>
      </c>
    </row>
    <row r="985" spans="1:9" x14ac:dyDescent="0.2">
      <c r="A985" s="420" t="s">
        <v>434</v>
      </c>
      <c r="B985" s="420" t="s">
        <v>21</v>
      </c>
      <c r="C985" s="420" t="s">
        <v>38</v>
      </c>
      <c r="D985" s="423">
        <v>3501.73</v>
      </c>
      <c r="E985" s="423">
        <v>1921.32</v>
      </c>
      <c r="F985" s="423">
        <v>741532.65</v>
      </c>
      <c r="G985" s="423">
        <f>SUM(D985:F985)</f>
        <v>746955.70000000007</v>
      </c>
      <c r="H985" s="422">
        <f t="shared" ref="H985:H987" si="287">IF(G975&gt;0,(G985-G975)/G975,0)</f>
        <v>4.3737085569756336E-3</v>
      </c>
      <c r="I985" s="423">
        <f t="shared" ref="I985:I992" si="288">G985-G975</f>
        <v>3252.7400000001071</v>
      </c>
    </row>
    <row r="986" spans="1:9" x14ac:dyDescent="0.2">
      <c r="A986" s="420" t="s">
        <v>434</v>
      </c>
      <c r="B986" s="420" t="s">
        <v>351</v>
      </c>
      <c r="C986" s="420" t="s">
        <v>38</v>
      </c>
      <c r="D986" s="423">
        <v>86820.46</v>
      </c>
      <c r="E986" s="423">
        <v>2500.13</v>
      </c>
      <c r="F986" s="423">
        <v>0</v>
      </c>
      <c r="G986" s="423">
        <f t="shared" ref="G986:G991" si="289">SUM(D986:F986)</f>
        <v>89320.590000000011</v>
      </c>
      <c r="H986" s="422">
        <f t="shared" si="287"/>
        <v>-9.3627038716847258E-2</v>
      </c>
      <c r="I986" s="423">
        <f t="shared" si="288"/>
        <v>-9226.6899999999878</v>
      </c>
    </row>
    <row r="987" spans="1:9" x14ac:dyDescent="0.2">
      <c r="A987" s="420" t="s">
        <v>434</v>
      </c>
      <c r="B987" s="420" t="s">
        <v>345</v>
      </c>
      <c r="C987" s="420" t="s">
        <v>38</v>
      </c>
      <c r="D987" s="423">
        <v>10177.790000000001</v>
      </c>
      <c r="E987" s="423">
        <v>5853.16</v>
      </c>
      <c r="F987" s="423">
        <v>204711.23</v>
      </c>
      <c r="G987" s="423">
        <f t="shared" si="289"/>
        <v>220742.18000000002</v>
      </c>
      <c r="H987" s="422">
        <f t="shared" si="287"/>
        <v>3.4626944833611922E-2</v>
      </c>
      <c r="I987" s="423">
        <f t="shared" si="288"/>
        <v>7387.8100000000268</v>
      </c>
    </row>
    <row r="988" spans="1:9" x14ac:dyDescent="0.2">
      <c r="A988" s="420" t="s">
        <v>434</v>
      </c>
      <c r="B988" s="420" t="s">
        <v>348</v>
      </c>
      <c r="C988" s="420" t="s">
        <v>38</v>
      </c>
      <c r="D988" s="423">
        <v>53709.35</v>
      </c>
      <c r="E988" s="423">
        <v>29549.42</v>
      </c>
      <c r="F988" s="423">
        <v>661559.27</v>
      </c>
      <c r="G988" s="423">
        <f t="shared" si="289"/>
        <v>744818.04</v>
      </c>
      <c r="H988" s="422">
        <f>IF(G978&gt;0,(G988-G978)/G978,0)</f>
        <v>1.7185700788096721E-5</v>
      </c>
      <c r="I988" s="423">
        <f t="shared" si="288"/>
        <v>12.800000000046566</v>
      </c>
    </row>
    <row r="989" spans="1:9" x14ac:dyDescent="0.2">
      <c r="A989" s="420" t="s">
        <v>434</v>
      </c>
      <c r="B989" s="420" t="s">
        <v>348</v>
      </c>
      <c r="C989" s="420" t="s">
        <v>39</v>
      </c>
      <c r="D989" s="423">
        <v>27550.86</v>
      </c>
      <c r="E989" s="423">
        <v>10622.81</v>
      </c>
      <c r="F989" s="423">
        <v>120831.43</v>
      </c>
      <c r="G989" s="423">
        <f t="shared" si="289"/>
        <v>159005.09999999998</v>
      </c>
      <c r="H989" s="422">
        <f>IF(G979&gt;0,(G989-G979)/G979,0)</f>
        <v>-3.014943027071279E-2</v>
      </c>
      <c r="I989" s="423">
        <f t="shared" si="288"/>
        <v>-4942.9400000000314</v>
      </c>
    </row>
    <row r="990" spans="1:9" x14ac:dyDescent="0.2">
      <c r="A990" s="420" t="s">
        <v>434</v>
      </c>
      <c r="B990" s="420" t="s">
        <v>350</v>
      </c>
      <c r="C990" s="420" t="s">
        <v>38</v>
      </c>
      <c r="D990" s="423">
        <v>22985.85</v>
      </c>
      <c r="E990" s="423">
        <v>1040.1600000000001</v>
      </c>
      <c r="F990" s="423">
        <v>58176.05</v>
      </c>
      <c r="G990" s="423">
        <f t="shared" si="289"/>
        <v>82202.06</v>
      </c>
      <c r="H990" s="422">
        <f>IF(G980&gt;0,(G990-G980)/G980,0)</f>
        <v>0.26155781296784475</v>
      </c>
      <c r="I990" s="423">
        <f t="shared" si="288"/>
        <v>17042.89</v>
      </c>
    </row>
    <row r="991" spans="1:9" x14ac:dyDescent="0.2">
      <c r="A991" s="420" t="s">
        <v>434</v>
      </c>
      <c r="B991" s="420" t="s">
        <v>350</v>
      </c>
      <c r="C991" s="420" t="s">
        <v>39</v>
      </c>
      <c r="D991" s="421">
        <v>0</v>
      </c>
      <c r="E991" s="421">
        <v>0</v>
      </c>
      <c r="F991" s="421">
        <v>0</v>
      </c>
      <c r="G991" s="423">
        <f t="shared" si="289"/>
        <v>0</v>
      </c>
      <c r="H991" s="422">
        <f>IF(G981&gt;0,(G991-G981)/G981,0)</f>
        <v>0</v>
      </c>
      <c r="I991" s="423">
        <f t="shared" si="288"/>
        <v>0</v>
      </c>
    </row>
    <row r="992" spans="1:9" x14ac:dyDescent="0.2">
      <c r="G992" s="423">
        <f>SUM(G985:G991)</f>
        <v>2043043.67</v>
      </c>
      <c r="H992" s="422">
        <f>IF(G982&gt;0,(G992-G982)/G982,0)</f>
        <v>6.6649402789450331E-3</v>
      </c>
      <c r="I992" s="423">
        <f t="shared" si="288"/>
        <v>13526.610000000102</v>
      </c>
    </row>
    <row r="994" spans="1:9" ht="15.75" x14ac:dyDescent="0.25">
      <c r="A994" s="426">
        <v>44834</v>
      </c>
      <c r="B994" s="424" t="s">
        <v>343</v>
      </c>
      <c r="C994" s="424" t="s">
        <v>33</v>
      </c>
      <c r="D994" s="424" t="s">
        <v>34</v>
      </c>
      <c r="E994" s="424" t="s">
        <v>35</v>
      </c>
      <c r="F994" s="424" t="s">
        <v>103</v>
      </c>
      <c r="G994" s="425" t="s">
        <v>9</v>
      </c>
    </row>
    <row r="995" spans="1:9" x14ac:dyDescent="0.2">
      <c r="A995" s="420" t="s">
        <v>434</v>
      </c>
      <c r="B995" s="420" t="s">
        <v>21</v>
      </c>
      <c r="C995" s="420" t="s">
        <v>38</v>
      </c>
      <c r="D995" s="423">
        <v>0</v>
      </c>
      <c r="E995" s="423">
        <v>9.76</v>
      </c>
      <c r="F995" s="423">
        <v>742564.62</v>
      </c>
      <c r="G995" s="423">
        <f>SUM(D995:F995)</f>
        <v>742574.38</v>
      </c>
      <c r="H995" s="422">
        <f t="shared" ref="H995:H997" si="290">IF(G985&gt;0,(G995-G985)/G985,0)</f>
        <v>-5.865568734531465E-3</v>
      </c>
      <c r="I995" s="423">
        <f t="shared" ref="I995:I1002" si="291">G995-G985</f>
        <v>-4381.3200000000652</v>
      </c>
    </row>
    <row r="996" spans="1:9" x14ac:dyDescent="0.2">
      <c r="A996" s="420" t="s">
        <v>434</v>
      </c>
      <c r="B996" s="420" t="s">
        <v>351</v>
      </c>
      <c r="C996" s="420" t="s">
        <v>38</v>
      </c>
      <c r="D996" s="423">
        <v>0</v>
      </c>
      <c r="E996" s="423">
        <v>0</v>
      </c>
      <c r="F996" s="423">
        <v>0</v>
      </c>
      <c r="G996" s="423">
        <f t="shared" ref="G996:G1001" si="292">SUM(D996:F996)</f>
        <v>0</v>
      </c>
      <c r="H996" s="422">
        <f t="shared" si="290"/>
        <v>-1</v>
      </c>
      <c r="I996" s="423">
        <f t="shared" si="291"/>
        <v>-89320.590000000011</v>
      </c>
    </row>
    <row r="997" spans="1:9" x14ac:dyDescent="0.2">
      <c r="A997" s="420" t="s">
        <v>434</v>
      </c>
      <c r="B997" s="420" t="s">
        <v>345</v>
      </c>
      <c r="C997" s="420" t="s">
        <v>38</v>
      </c>
      <c r="D997" s="423">
        <v>3378.43</v>
      </c>
      <c r="E997" s="423">
        <v>7094.5</v>
      </c>
      <c r="F997" s="423">
        <v>207265.4</v>
      </c>
      <c r="G997" s="423">
        <f t="shared" si="292"/>
        <v>217738.33</v>
      </c>
      <c r="H997" s="422">
        <f t="shared" si="290"/>
        <v>-1.3607956576310131E-2</v>
      </c>
      <c r="I997" s="423">
        <f t="shared" si="291"/>
        <v>-3003.8500000000349</v>
      </c>
    </row>
    <row r="998" spans="1:9" x14ac:dyDescent="0.2">
      <c r="A998" s="420" t="s">
        <v>434</v>
      </c>
      <c r="B998" s="420" t="s">
        <v>348</v>
      </c>
      <c r="C998" s="420" t="s">
        <v>38</v>
      </c>
      <c r="D998" s="423">
        <v>35950.199999999997</v>
      </c>
      <c r="E998" s="423">
        <v>38359.97</v>
      </c>
      <c r="F998" s="423">
        <v>654307.39</v>
      </c>
      <c r="G998" s="423">
        <f t="shared" si="292"/>
        <v>728617.56</v>
      </c>
      <c r="H998" s="422">
        <f>IF(G988&gt;0,(G998-G988)/G988,0)</f>
        <v>-2.1750923218777005E-2</v>
      </c>
      <c r="I998" s="423">
        <f t="shared" si="291"/>
        <v>-16200.479999999981</v>
      </c>
    </row>
    <row r="999" spans="1:9" x14ac:dyDescent="0.2">
      <c r="A999" s="420" t="s">
        <v>434</v>
      </c>
      <c r="B999" s="420" t="s">
        <v>348</v>
      </c>
      <c r="C999" s="420" t="s">
        <v>39</v>
      </c>
      <c r="D999" s="423">
        <v>7763.54</v>
      </c>
      <c r="E999" s="423">
        <v>21056.75</v>
      </c>
      <c r="F999" s="423">
        <v>111729.26</v>
      </c>
      <c r="G999" s="423">
        <f t="shared" si="292"/>
        <v>140549.54999999999</v>
      </c>
      <c r="H999" s="422">
        <f>IF(G989&gt;0,(G999-G989)/G989,0)</f>
        <v>-0.11606891854412212</v>
      </c>
      <c r="I999" s="423">
        <f t="shared" si="291"/>
        <v>-18455.549999999988</v>
      </c>
    </row>
    <row r="1000" spans="1:9" x14ac:dyDescent="0.2">
      <c r="A1000" s="420" t="s">
        <v>434</v>
      </c>
      <c r="B1000" s="420" t="s">
        <v>350</v>
      </c>
      <c r="C1000" s="420" t="s">
        <v>38</v>
      </c>
      <c r="D1000" s="423">
        <v>2061.2600000000002</v>
      </c>
      <c r="E1000" s="423">
        <v>12908.96</v>
      </c>
      <c r="F1000" s="423">
        <v>58174.27</v>
      </c>
      <c r="G1000" s="423">
        <f t="shared" si="292"/>
        <v>73144.489999999991</v>
      </c>
      <c r="H1000" s="422">
        <f>IF(G990&gt;0,(G1000-G990)/G990,0)</f>
        <v>-0.11018665468967574</v>
      </c>
      <c r="I1000" s="423">
        <f t="shared" si="291"/>
        <v>-9057.570000000007</v>
      </c>
    </row>
    <row r="1001" spans="1:9" x14ac:dyDescent="0.2">
      <c r="A1001" s="420" t="s">
        <v>434</v>
      </c>
      <c r="B1001" s="420" t="s">
        <v>350</v>
      </c>
      <c r="C1001" s="420" t="s">
        <v>39</v>
      </c>
      <c r="D1001" s="421">
        <v>0</v>
      </c>
      <c r="E1001" s="421">
        <v>0</v>
      </c>
      <c r="F1001" s="421">
        <v>0</v>
      </c>
      <c r="G1001" s="423">
        <f t="shared" si="292"/>
        <v>0</v>
      </c>
      <c r="H1001" s="422">
        <f>IF(G991&gt;0,(G1001-G991)/G991,0)</f>
        <v>0</v>
      </c>
      <c r="I1001" s="423">
        <f t="shared" si="291"/>
        <v>0</v>
      </c>
    </row>
    <row r="1002" spans="1:9" x14ac:dyDescent="0.2">
      <c r="G1002" s="423">
        <f>SUM(G995:G1001)</f>
        <v>1902624.31</v>
      </c>
      <c r="H1002" s="422">
        <f>IF(G992&gt;0,(G1002-G992)/G992,0)</f>
        <v>-6.8730474077433629E-2</v>
      </c>
      <c r="I1002" s="423">
        <f t="shared" si="291"/>
        <v>-140419.35999999987</v>
      </c>
    </row>
    <row r="1004" spans="1:9" ht="15.75" x14ac:dyDescent="0.25">
      <c r="A1004" s="426">
        <v>44865</v>
      </c>
      <c r="B1004" s="424" t="s">
        <v>343</v>
      </c>
      <c r="C1004" s="424" t="s">
        <v>33</v>
      </c>
      <c r="D1004" s="424" t="s">
        <v>34</v>
      </c>
      <c r="E1004" s="424" t="s">
        <v>35</v>
      </c>
      <c r="F1004" s="424" t="s">
        <v>103</v>
      </c>
      <c r="G1004" s="425" t="s">
        <v>9</v>
      </c>
    </row>
    <row r="1005" spans="1:9" x14ac:dyDescent="0.2">
      <c r="A1005" s="420" t="s">
        <v>434</v>
      </c>
      <c r="B1005" s="420" t="s">
        <v>21</v>
      </c>
      <c r="C1005" s="420" t="s">
        <v>38</v>
      </c>
      <c r="D1005" s="423">
        <v>6.04</v>
      </c>
      <c r="E1005" s="423">
        <v>0</v>
      </c>
      <c r="F1005" s="423">
        <v>742079.31</v>
      </c>
      <c r="G1005" s="423">
        <f>SUM(D1005:F1005)</f>
        <v>742085.35000000009</v>
      </c>
      <c r="H1005" s="422">
        <f t="shared" ref="H1005:H1007" si="293">IF(G995&gt;0,(G1005-G995)/G995,0)</f>
        <v>-6.5856029129352878E-4</v>
      </c>
      <c r="I1005" s="423">
        <f t="shared" ref="I1005:I1012" si="294">G1005-G995</f>
        <v>-489.02999999991152</v>
      </c>
    </row>
    <row r="1006" spans="1:9" x14ac:dyDescent="0.2">
      <c r="A1006" s="420" t="s">
        <v>434</v>
      </c>
      <c r="B1006" s="420" t="s">
        <v>351</v>
      </c>
      <c r="C1006" s="420" t="s">
        <v>38</v>
      </c>
      <c r="D1006" s="423">
        <v>2717.17</v>
      </c>
      <c r="E1006" s="423">
        <v>0</v>
      </c>
      <c r="F1006" s="423">
        <v>0</v>
      </c>
      <c r="G1006" s="423">
        <f t="shared" ref="G1006:G1011" si="295">SUM(D1006:F1006)</f>
        <v>2717.17</v>
      </c>
      <c r="H1006" s="422">
        <f t="shared" si="293"/>
        <v>0</v>
      </c>
      <c r="I1006" s="423">
        <f t="shared" si="294"/>
        <v>2717.17</v>
      </c>
    </row>
    <row r="1007" spans="1:9" x14ac:dyDescent="0.2">
      <c r="A1007" s="420" t="s">
        <v>434</v>
      </c>
      <c r="B1007" s="420" t="s">
        <v>345</v>
      </c>
      <c r="C1007" s="420" t="s">
        <v>38</v>
      </c>
      <c r="D1007" s="423">
        <v>4689.87</v>
      </c>
      <c r="E1007" s="423">
        <v>2243.9499999999998</v>
      </c>
      <c r="F1007" s="423">
        <v>205251.31</v>
      </c>
      <c r="G1007" s="423">
        <f t="shared" si="295"/>
        <v>212185.13</v>
      </c>
      <c r="H1007" s="422">
        <f t="shared" si="293"/>
        <v>-2.5504007493765489E-2</v>
      </c>
      <c r="I1007" s="423">
        <f t="shared" si="294"/>
        <v>-5553.1999999999825</v>
      </c>
    </row>
    <row r="1008" spans="1:9" x14ac:dyDescent="0.2">
      <c r="A1008" s="420" t="s">
        <v>434</v>
      </c>
      <c r="B1008" s="420" t="s">
        <v>348</v>
      </c>
      <c r="C1008" s="420" t="s">
        <v>38</v>
      </c>
      <c r="D1008" s="423">
        <v>29627.57</v>
      </c>
      <c r="E1008" s="423">
        <v>25042.15</v>
      </c>
      <c r="F1008" s="423">
        <v>631656.55000000005</v>
      </c>
      <c r="G1008" s="423">
        <f t="shared" si="295"/>
        <v>686326.27</v>
      </c>
      <c r="H1008" s="422">
        <f>IF(G998&gt;0,(G1008-G998)/G998,0)</f>
        <v>-5.8043193469012787E-2</v>
      </c>
      <c r="I1008" s="423">
        <f t="shared" si="294"/>
        <v>-42291.290000000037</v>
      </c>
    </row>
    <row r="1009" spans="1:9" x14ac:dyDescent="0.2">
      <c r="A1009" s="420" t="s">
        <v>434</v>
      </c>
      <c r="B1009" s="420" t="s">
        <v>348</v>
      </c>
      <c r="C1009" s="420" t="s">
        <v>39</v>
      </c>
      <c r="D1009" s="423">
        <v>8794.0300000000007</v>
      </c>
      <c r="E1009" s="423">
        <v>6602.34</v>
      </c>
      <c r="F1009" s="423">
        <v>114743.98</v>
      </c>
      <c r="G1009" s="423">
        <f t="shared" si="295"/>
        <v>130140.34999999999</v>
      </c>
      <c r="H1009" s="422">
        <f>IF(G999&gt;0,(G1009-G999)/G999,0)</f>
        <v>-7.4060713819432356E-2</v>
      </c>
      <c r="I1009" s="423">
        <f t="shared" si="294"/>
        <v>-10409.199999999997</v>
      </c>
    </row>
    <row r="1010" spans="1:9" x14ac:dyDescent="0.2">
      <c r="A1010" s="420" t="s">
        <v>434</v>
      </c>
      <c r="B1010" s="420" t="s">
        <v>350</v>
      </c>
      <c r="C1010" s="420" t="s">
        <v>38</v>
      </c>
      <c r="D1010" s="423">
        <v>9766.7199999999993</v>
      </c>
      <c r="E1010" s="423">
        <v>1309.51</v>
      </c>
      <c r="F1010" s="423">
        <v>60906.05</v>
      </c>
      <c r="G1010" s="423">
        <f t="shared" si="295"/>
        <v>71982.28</v>
      </c>
      <c r="H1010" s="422">
        <f>IF(G1000&gt;0,(G1010-G1000)/G1000,0)</f>
        <v>-1.5889235128989102E-2</v>
      </c>
      <c r="I1010" s="423">
        <f t="shared" si="294"/>
        <v>-1162.2099999999919</v>
      </c>
    </row>
    <row r="1011" spans="1:9" x14ac:dyDescent="0.2">
      <c r="A1011" s="420" t="s">
        <v>434</v>
      </c>
      <c r="B1011" s="420" t="s">
        <v>350</v>
      </c>
      <c r="C1011" s="420" t="s">
        <v>39</v>
      </c>
      <c r="D1011" s="421">
        <v>0</v>
      </c>
      <c r="E1011" s="421">
        <v>0</v>
      </c>
      <c r="F1011" s="421">
        <v>0</v>
      </c>
      <c r="G1011" s="423">
        <f t="shared" si="295"/>
        <v>0</v>
      </c>
      <c r="H1011" s="422">
        <f>IF(G1001&gt;0,(G1011-G1001)/G1001,0)</f>
        <v>0</v>
      </c>
      <c r="I1011" s="423">
        <f t="shared" si="294"/>
        <v>0</v>
      </c>
    </row>
    <row r="1012" spans="1:9" x14ac:dyDescent="0.2">
      <c r="G1012" s="423">
        <f>SUM(G1005:G1011)</f>
        <v>1845436.5500000003</v>
      </c>
      <c r="H1012" s="422">
        <f>IF(G1002&gt;0,(G1012-G1002)/G1002,0)</f>
        <v>-3.005730542778557E-2</v>
      </c>
      <c r="I1012" s="423">
        <f t="shared" si="294"/>
        <v>-57187.759999999776</v>
      </c>
    </row>
    <row r="1014" spans="1:9" ht="15.75" x14ac:dyDescent="0.25">
      <c r="A1014" s="426">
        <v>44895</v>
      </c>
      <c r="B1014" s="424" t="s">
        <v>343</v>
      </c>
      <c r="C1014" s="424" t="s">
        <v>33</v>
      </c>
      <c r="D1014" s="424" t="s">
        <v>34</v>
      </c>
      <c r="E1014" s="424" t="s">
        <v>35</v>
      </c>
      <c r="F1014" s="424" t="s">
        <v>103</v>
      </c>
      <c r="G1014" s="425" t="s">
        <v>9</v>
      </c>
    </row>
    <row r="1015" spans="1:9" x14ac:dyDescent="0.2">
      <c r="A1015" s="420" t="s">
        <v>434</v>
      </c>
      <c r="B1015" s="420" t="s">
        <v>21</v>
      </c>
      <c r="C1015" s="420" t="s">
        <v>38</v>
      </c>
      <c r="D1015" s="423">
        <v>237</v>
      </c>
      <c r="E1015" s="423">
        <v>6.04</v>
      </c>
      <c r="F1015" s="423">
        <v>741544.07</v>
      </c>
      <c r="G1015" s="423">
        <f>SUM(D1015:F1015)</f>
        <v>741787.11</v>
      </c>
      <c r="H1015" s="422">
        <f t="shared" ref="H1015:H1017" si="296">IF(G1005&gt;0,(G1015-G1005)/G1005,0)</f>
        <v>-4.0189447211174171E-4</v>
      </c>
      <c r="I1015" s="423">
        <f t="shared" ref="I1015:I1022" si="297">G1015-G1005</f>
        <v>-298.2400000001071</v>
      </c>
    </row>
    <row r="1016" spans="1:9" x14ac:dyDescent="0.2">
      <c r="A1016" s="420" t="s">
        <v>434</v>
      </c>
      <c r="B1016" s="420" t="s">
        <v>351</v>
      </c>
      <c r="C1016" s="420" t="s">
        <v>38</v>
      </c>
      <c r="D1016" s="423">
        <v>0</v>
      </c>
      <c r="E1016" s="423">
        <v>0</v>
      </c>
      <c r="F1016" s="423">
        <v>0</v>
      </c>
      <c r="G1016" s="423">
        <f t="shared" ref="G1016:G1021" si="298">SUM(D1016:F1016)</f>
        <v>0</v>
      </c>
      <c r="H1016" s="422">
        <f t="shared" si="296"/>
        <v>-1</v>
      </c>
      <c r="I1016" s="423">
        <f t="shared" si="297"/>
        <v>-2717.17</v>
      </c>
    </row>
    <row r="1017" spans="1:9" x14ac:dyDescent="0.2">
      <c r="A1017" s="420" t="s">
        <v>434</v>
      </c>
      <c r="B1017" s="420" t="s">
        <v>345</v>
      </c>
      <c r="C1017" s="420" t="s">
        <v>38</v>
      </c>
      <c r="D1017" s="423">
        <v>16078.25</v>
      </c>
      <c r="E1017" s="423">
        <v>2597.2600000000002</v>
      </c>
      <c r="F1017" s="423">
        <v>204158.71</v>
      </c>
      <c r="G1017" s="423">
        <f t="shared" si="298"/>
        <v>222834.22</v>
      </c>
      <c r="H1017" s="422">
        <f t="shared" si="296"/>
        <v>5.018772993187598E-2</v>
      </c>
      <c r="I1017" s="423">
        <f t="shared" si="297"/>
        <v>10649.089999999997</v>
      </c>
    </row>
    <row r="1018" spans="1:9" x14ac:dyDescent="0.2">
      <c r="A1018" s="420" t="s">
        <v>434</v>
      </c>
      <c r="B1018" s="420" t="s">
        <v>348</v>
      </c>
      <c r="C1018" s="420" t="s">
        <v>38</v>
      </c>
      <c r="D1018" s="423">
        <v>62992.13</v>
      </c>
      <c r="E1018" s="423">
        <v>21125.94</v>
      </c>
      <c r="F1018" s="423">
        <v>632292.17000000004</v>
      </c>
      <c r="G1018" s="423">
        <f t="shared" si="298"/>
        <v>716410.24</v>
      </c>
      <c r="H1018" s="422">
        <f>IF(G1008&gt;0,(G1018-G1008)/G1008,0)</f>
        <v>4.3833336002132003E-2</v>
      </c>
      <c r="I1018" s="423">
        <f t="shared" si="297"/>
        <v>30083.969999999972</v>
      </c>
    </row>
    <row r="1019" spans="1:9" x14ac:dyDescent="0.2">
      <c r="A1019" s="420" t="s">
        <v>434</v>
      </c>
      <c r="B1019" s="420" t="s">
        <v>348</v>
      </c>
      <c r="C1019" s="420" t="s">
        <v>39</v>
      </c>
      <c r="D1019" s="423">
        <v>28134.99</v>
      </c>
      <c r="E1019" s="423">
        <v>6752.31</v>
      </c>
      <c r="F1019" s="423">
        <v>103411.04</v>
      </c>
      <c r="G1019" s="423">
        <f t="shared" si="298"/>
        <v>138298.34</v>
      </c>
      <c r="H1019" s="422">
        <f>IF(G1009&gt;0,(G1019-G1009)/G1009,0)</f>
        <v>6.2686092361054865E-2</v>
      </c>
      <c r="I1019" s="423">
        <f t="shared" si="297"/>
        <v>8157.9900000000052</v>
      </c>
    </row>
    <row r="1020" spans="1:9" x14ac:dyDescent="0.2">
      <c r="A1020" s="420" t="s">
        <v>434</v>
      </c>
      <c r="B1020" s="420" t="s">
        <v>350</v>
      </c>
      <c r="C1020" s="420" t="s">
        <v>38</v>
      </c>
      <c r="D1020" s="423">
        <v>12292.07</v>
      </c>
      <c r="E1020" s="423">
        <v>4527.55</v>
      </c>
      <c r="F1020" s="423">
        <v>60052.12</v>
      </c>
      <c r="G1020" s="423">
        <f t="shared" si="298"/>
        <v>76871.740000000005</v>
      </c>
      <c r="H1020" s="422">
        <f>IF(G1010&gt;0,(G1020-G1010)/G1010,0)</f>
        <v>6.7925883981446639E-2</v>
      </c>
      <c r="I1020" s="423">
        <f t="shared" si="297"/>
        <v>4889.4600000000064</v>
      </c>
    </row>
    <row r="1021" spans="1:9" x14ac:dyDescent="0.2">
      <c r="A1021" s="420" t="s">
        <v>434</v>
      </c>
      <c r="B1021" s="420" t="s">
        <v>350</v>
      </c>
      <c r="C1021" s="420" t="s">
        <v>39</v>
      </c>
      <c r="D1021" s="421">
        <v>0</v>
      </c>
      <c r="E1021" s="421">
        <v>0</v>
      </c>
      <c r="F1021" s="421">
        <v>0</v>
      </c>
      <c r="G1021" s="423">
        <f t="shared" si="298"/>
        <v>0</v>
      </c>
      <c r="H1021" s="422">
        <f>IF(G1011&gt;0,(G1021-G1011)/G1011,0)</f>
        <v>0</v>
      </c>
      <c r="I1021" s="423">
        <f t="shared" si="297"/>
        <v>0</v>
      </c>
    </row>
    <row r="1022" spans="1:9" x14ac:dyDescent="0.2">
      <c r="G1022" s="423">
        <f>SUM(G1015:G1021)</f>
        <v>1896201.65</v>
      </c>
      <c r="H1022" s="422">
        <f>IF(G1012&gt;0,(G1022-G1012)/G1012,0)</f>
        <v>2.7508450507279493E-2</v>
      </c>
      <c r="I1022" s="423">
        <f t="shared" si="297"/>
        <v>50765.099999999627</v>
      </c>
    </row>
    <row r="1024" spans="1:9" ht="15.75" x14ac:dyDescent="0.25">
      <c r="A1024" s="426">
        <v>44926</v>
      </c>
      <c r="B1024" s="424" t="s">
        <v>343</v>
      </c>
      <c r="C1024" s="424" t="s">
        <v>33</v>
      </c>
      <c r="D1024" s="424" t="s">
        <v>34</v>
      </c>
      <c r="E1024" s="424" t="s">
        <v>35</v>
      </c>
      <c r="F1024" s="424" t="s">
        <v>103</v>
      </c>
      <c r="G1024" s="425" t="s">
        <v>9</v>
      </c>
    </row>
    <row r="1025" spans="1:9" x14ac:dyDescent="0.2">
      <c r="A1025" s="420" t="s">
        <v>434</v>
      </c>
      <c r="B1025" s="420" t="s">
        <v>21</v>
      </c>
      <c r="C1025" s="420" t="s">
        <v>38</v>
      </c>
      <c r="D1025" s="423">
        <v>4666.6099999999997</v>
      </c>
      <c r="E1025" s="423">
        <v>236.47</v>
      </c>
      <c r="F1025" s="423">
        <v>261.54000000000002</v>
      </c>
      <c r="G1025" s="423">
        <f>SUM(D1025:F1025)</f>
        <v>5164.62</v>
      </c>
      <c r="H1025" s="422">
        <f t="shared" ref="H1025:H1027" si="299">IF(G1015&gt;0,(G1025-G1015)/G1015,0)</f>
        <v>-0.99303759807851066</v>
      </c>
      <c r="I1025" s="423">
        <f t="shared" ref="I1025:I1032" si="300">G1025-G1015</f>
        <v>-736622.49</v>
      </c>
    </row>
    <row r="1026" spans="1:9" x14ac:dyDescent="0.2">
      <c r="A1026" s="420" t="s">
        <v>434</v>
      </c>
      <c r="B1026" s="420" t="s">
        <v>351</v>
      </c>
      <c r="C1026" s="420" t="s">
        <v>38</v>
      </c>
      <c r="D1026" s="423">
        <v>0</v>
      </c>
      <c r="E1026" s="423">
        <v>0</v>
      </c>
      <c r="F1026" s="423">
        <v>0</v>
      </c>
      <c r="G1026" s="423">
        <f t="shared" ref="G1026:G1031" si="301">SUM(D1026:F1026)</f>
        <v>0</v>
      </c>
      <c r="H1026" s="422">
        <f t="shared" si="299"/>
        <v>0</v>
      </c>
      <c r="I1026" s="423">
        <f t="shared" si="300"/>
        <v>0</v>
      </c>
    </row>
    <row r="1027" spans="1:9" x14ac:dyDescent="0.2">
      <c r="A1027" s="420" t="s">
        <v>434</v>
      </c>
      <c r="B1027" s="420" t="s">
        <v>345</v>
      </c>
      <c r="C1027" s="420" t="s">
        <v>38</v>
      </c>
      <c r="D1027" s="423">
        <v>5608.57</v>
      </c>
      <c r="E1027" s="423">
        <v>8537.31</v>
      </c>
      <c r="F1027" s="423">
        <v>204748.04</v>
      </c>
      <c r="G1027" s="423">
        <f t="shared" si="301"/>
        <v>218893.92</v>
      </c>
      <c r="H1027" s="422">
        <f t="shared" si="299"/>
        <v>-1.7682652152797664E-2</v>
      </c>
      <c r="I1027" s="423">
        <f t="shared" si="300"/>
        <v>-3940.2999999999884</v>
      </c>
    </row>
    <row r="1028" spans="1:9" x14ac:dyDescent="0.2">
      <c r="A1028" s="420" t="s">
        <v>434</v>
      </c>
      <c r="B1028" s="420" t="s">
        <v>348</v>
      </c>
      <c r="C1028" s="420" t="s">
        <v>38</v>
      </c>
      <c r="D1028" s="423">
        <v>37751.47</v>
      </c>
      <c r="E1028" s="423">
        <v>47277.15</v>
      </c>
      <c r="F1028" s="423">
        <v>616760.98</v>
      </c>
      <c r="G1028" s="423">
        <f t="shared" si="301"/>
        <v>701789.6</v>
      </c>
      <c r="H1028" s="422">
        <f>IF(G1018&gt;0,(G1028-G1018)/G1018,0)</f>
        <v>-2.0408195170409645E-2</v>
      </c>
      <c r="I1028" s="423">
        <f t="shared" si="300"/>
        <v>-14620.640000000014</v>
      </c>
    </row>
    <row r="1029" spans="1:9" x14ac:dyDescent="0.2">
      <c r="A1029" s="420" t="s">
        <v>434</v>
      </c>
      <c r="B1029" s="420" t="s">
        <v>348</v>
      </c>
      <c r="C1029" s="420" t="s">
        <v>39</v>
      </c>
      <c r="D1029" s="423">
        <v>6980.87</v>
      </c>
      <c r="E1029" s="423">
        <v>22941.63</v>
      </c>
      <c r="F1029" s="423">
        <v>99300.44</v>
      </c>
      <c r="G1029" s="423">
        <f t="shared" si="301"/>
        <v>129222.94</v>
      </c>
      <c r="H1029" s="422">
        <f>IF(G1019&gt;0,(G1029-G1019)/G1019,0)</f>
        <v>-6.5621901173940303E-2</v>
      </c>
      <c r="I1029" s="423">
        <f t="shared" si="300"/>
        <v>-9075.3999999999942</v>
      </c>
    </row>
    <row r="1030" spans="1:9" x14ac:dyDescent="0.2">
      <c r="A1030" s="420" t="s">
        <v>434</v>
      </c>
      <c r="B1030" s="420" t="s">
        <v>350</v>
      </c>
      <c r="C1030" s="420" t="s">
        <v>38</v>
      </c>
      <c r="D1030" s="423">
        <v>3648.17</v>
      </c>
      <c r="E1030" s="423">
        <v>11931.49</v>
      </c>
      <c r="F1030" s="423">
        <v>53266.65</v>
      </c>
      <c r="G1030" s="423">
        <f t="shared" si="301"/>
        <v>68846.31</v>
      </c>
      <c r="H1030" s="422">
        <f>IF(G1020&gt;0,(G1030-G1020)/G1020,0)</f>
        <v>-0.10440026464862129</v>
      </c>
      <c r="I1030" s="423">
        <f t="shared" si="300"/>
        <v>-8025.4300000000076</v>
      </c>
    </row>
    <row r="1031" spans="1:9" x14ac:dyDescent="0.2">
      <c r="A1031" s="420" t="s">
        <v>434</v>
      </c>
      <c r="B1031" s="420" t="s">
        <v>350</v>
      </c>
      <c r="C1031" s="420" t="s">
        <v>39</v>
      </c>
      <c r="D1031" s="421">
        <v>0</v>
      </c>
      <c r="E1031" s="421">
        <v>0</v>
      </c>
      <c r="F1031" s="421">
        <v>0</v>
      </c>
      <c r="G1031" s="423">
        <f t="shared" si="301"/>
        <v>0</v>
      </c>
      <c r="H1031" s="422">
        <f>IF(G1021&gt;0,(G1031-G1021)/G1021,0)</f>
        <v>0</v>
      </c>
      <c r="I1031" s="423">
        <f t="shared" si="300"/>
        <v>0</v>
      </c>
    </row>
    <row r="1032" spans="1:9" x14ac:dyDescent="0.2">
      <c r="G1032" s="423">
        <f>SUM(G1025:G1031)</f>
        <v>1123917.3900000001</v>
      </c>
      <c r="H1032" s="422">
        <f>IF(G1022&gt;0,(G1032-G1022)/G1022,0)</f>
        <v>-0.4072796055208579</v>
      </c>
      <c r="I1032" s="423">
        <f t="shared" si="300"/>
        <v>-772284.25999999978</v>
      </c>
    </row>
    <row r="1034" spans="1:9" ht="15.75" x14ac:dyDescent="0.25">
      <c r="A1034" s="426">
        <v>44957</v>
      </c>
      <c r="B1034" s="424" t="s">
        <v>343</v>
      </c>
      <c r="C1034" s="424" t="s">
        <v>33</v>
      </c>
      <c r="D1034" s="424" t="s">
        <v>34</v>
      </c>
      <c r="E1034" s="424" t="s">
        <v>35</v>
      </c>
      <c r="F1034" s="424" t="s">
        <v>103</v>
      </c>
      <c r="G1034" s="425" t="s">
        <v>9</v>
      </c>
    </row>
    <row r="1035" spans="1:9" x14ac:dyDescent="0.2">
      <c r="A1035" s="420" t="s">
        <v>434</v>
      </c>
      <c r="B1035" s="420" t="s">
        <v>21</v>
      </c>
      <c r="C1035" s="420" t="s">
        <v>38</v>
      </c>
      <c r="D1035" s="423">
        <v>544.38</v>
      </c>
      <c r="E1035" s="423">
        <v>3181.04</v>
      </c>
      <c r="F1035" s="423">
        <v>490.92</v>
      </c>
      <c r="G1035" s="423">
        <f>SUM(D1035:F1035)</f>
        <v>4216.34</v>
      </c>
      <c r="H1035" s="422">
        <f t="shared" ref="H1035:H1037" si="302">IF(G1025&gt;0,(G1035-G1025)/G1025,0)</f>
        <v>-0.18361079808388608</v>
      </c>
      <c r="I1035" s="423">
        <f t="shared" ref="I1035:I1042" si="303">G1035-G1025</f>
        <v>-948.27999999999975</v>
      </c>
    </row>
    <row r="1036" spans="1:9" x14ac:dyDescent="0.2">
      <c r="A1036" s="420" t="s">
        <v>434</v>
      </c>
      <c r="B1036" s="420" t="s">
        <v>351</v>
      </c>
      <c r="C1036" s="420" t="s">
        <v>38</v>
      </c>
      <c r="D1036" s="423">
        <v>0</v>
      </c>
      <c r="E1036" s="423">
        <v>0</v>
      </c>
      <c r="F1036" s="423">
        <v>0</v>
      </c>
      <c r="G1036" s="423">
        <f t="shared" ref="G1036:G1041" si="304">SUM(D1036:F1036)</f>
        <v>0</v>
      </c>
      <c r="H1036" s="422">
        <f t="shared" si="302"/>
        <v>0</v>
      </c>
      <c r="I1036" s="423">
        <f t="shared" si="303"/>
        <v>0</v>
      </c>
    </row>
    <row r="1037" spans="1:9" x14ac:dyDescent="0.2">
      <c r="A1037" s="420" t="s">
        <v>434</v>
      </c>
      <c r="B1037" s="420" t="s">
        <v>345</v>
      </c>
      <c r="C1037" s="420" t="s">
        <v>38</v>
      </c>
      <c r="D1037" s="423">
        <v>5380.3</v>
      </c>
      <c r="E1037" s="423">
        <v>5027.2700000000004</v>
      </c>
      <c r="F1037" s="423">
        <v>210603.13</v>
      </c>
      <c r="G1037" s="423">
        <f t="shared" si="304"/>
        <v>221010.7</v>
      </c>
      <c r="H1037" s="422">
        <f t="shared" si="302"/>
        <v>9.6703462572190167E-3</v>
      </c>
      <c r="I1037" s="423">
        <f t="shared" si="303"/>
        <v>2116.7799999999988</v>
      </c>
    </row>
    <row r="1038" spans="1:9" x14ac:dyDescent="0.2">
      <c r="A1038" s="420" t="s">
        <v>434</v>
      </c>
      <c r="B1038" s="420" t="s">
        <v>348</v>
      </c>
      <c r="C1038" s="420" t="s">
        <v>38</v>
      </c>
      <c r="D1038" s="423">
        <v>39465.949999999997</v>
      </c>
      <c r="E1038" s="423">
        <v>29065.51</v>
      </c>
      <c r="F1038" s="423">
        <v>636031.91</v>
      </c>
      <c r="G1038" s="423">
        <f t="shared" si="304"/>
        <v>704563.37</v>
      </c>
      <c r="H1038" s="422">
        <f>IF(G1028&gt;0,(G1038-G1028)/G1028,0)</f>
        <v>3.9524239173678527E-3</v>
      </c>
      <c r="I1038" s="423">
        <f t="shared" si="303"/>
        <v>2773.7700000000186</v>
      </c>
    </row>
    <row r="1039" spans="1:9" x14ac:dyDescent="0.2">
      <c r="A1039" s="420" t="s">
        <v>434</v>
      </c>
      <c r="B1039" s="420" t="s">
        <v>348</v>
      </c>
      <c r="C1039" s="420" t="s">
        <v>39</v>
      </c>
      <c r="D1039" s="423">
        <v>12094.7</v>
      </c>
      <c r="E1039" s="423">
        <v>5675.04</v>
      </c>
      <c r="F1039" s="423">
        <v>109912.42</v>
      </c>
      <c r="G1039" s="423">
        <f t="shared" si="304"/>
        <v>127682.16</v>
      </c>
      <c r="H1039" s="422">
        <f>IF(G1029&gt;0,(G1039-G1029)/G1029,0)</f>
        <v>-1.1923424741767977E-2</v>
      </c>
      <c r="I1039" s="423">
        <f t="shared" si="303"/>
        <v>-1540.7799999999988</v>
      </c>
    </row>
    <row r="1040" spans="1:9" x14ac:dyDescent="0.2">
      <c r="A1040" s="420" t="s">
        <v>434</v>
      </c>
      <c r="B1040" s="420" t="s">
        <v>350</v>
      </c>
      <c r="C1040" s="420" t="s">
        <v>38</v>
      </c>
      <c r="D1040" s="423">
        <v>6571.93</v>
      </c>
      <c r="E1040" s="423">
        <v>2508.4</v>
      </c>
      <c r="F1040" s="423">
        <v>49563.97</v>
      </c>
      <c r="G1040" s="423">
        <f t="shared" si="304"/>
        <v>58644.3</v>
      </c>
      <c r="H1040" s="422">
        <f>IF(G1030&gt;0,(G1040-G1030)/G1030,0)</f>
        <v>-0.14818528400432782</v>
      </c>
      <c r="I1040" s="423">
        <f t="shared" si="303"/>
        <v>-10202.009999999995</v>
      </c>
    </row>
    <row r="1041" spans="1:9" x14ac:dyDescent="0.2">
      <c r="A1041" s="420" t="s">
        <v>434</v>
      </c>
      <c r="B1041" s="420" t="s">
        <v>350</v>
      </c>
      <c r="C1041" s="420" t="s">
        <v>39</v>
      </c>
      <c r="D1041" s="421">
        <v>0</v>
      </c>
      <c r="E1041" s="421">
        <v>0</v>
      </c>
      <c r="F1041" s="421">
        <v>0</v>
      </c>
      <c r="G1041" s="423">
        <f t="shared" si="304"/>
        <v>0</v>
      </c>
      <c r="H1041" s="422">
        <f>IF(G1031&gt;0,(G1041-G1031)/G1031,0)</f>
        <v>0</v>
      </c>
      <c r="I1041" s="423">
        <f t="shared" si="303"/>
        <v>0</v>
      </c>
    </row>
    <row r="1042" spans="1:9" x14ac:dyDescent="0.2">
      <c r="G1042" s="423">
        <f>SUM(G1035:G1041)</f>
        <v>1116116.8700000001</v>
      </c>
      <c r="H1042" s="422">
        <f>IF(G1032&gt;0,(G1042-G1032)/G1032,0)</f>
        <v>-6.9404745129889112E-3</v>
      </c>
      <c r="I1042" s="423">
        <f t="shared" si="303"/>
        <v>-7800.5200000000186</v>
      </c>
    </row>
    <row r="1044" spans="1:9" ht="15.75" x14ac:dyDescent="0.25">
      <c r="A1044" s="426">
        <v>44985</v>
      </c>
      <c r="B1044" s="424" t="s">
        <v>343</v>
      </c>
      <c r="C1044" s="424" t="s">
        <v>33</v>
      </c>
      <c r="D1044" s="424" t="s">
        <v>34</v>
      </c>
      <c r="E1044" s="424" t="s">
        <v>35</v>
      </c>
      <c r="F1044" s="424" t="s">
        <v>103</v>
      </c>
      <c r="G1044" s="425" t="s">
        <v>9</v>
      </c>
    </row>
    <row r="1045" spans="1:9" x14ac:dyDescent="0.2">
      <c r="A1045" s="420" t="s">
        <v>434</v>
      </c>
      <c r="B1045" s="420" t="s">
        <v>21</v>
      </c>
      <c r="C1045" s="420" t="s">
        <v>38</v>
      </c>
      <c r="D1045" s="423">
        <v>503.34</v>
      </c>
      <c r="E1045" s="423">
        <v>527.62</v>
      </c>
      <c r="F1045" s="423">
        <v>2242.58</v>
      </c>
      <c r="G1045" s="423">
        <f>SUM(D1045:F1045)</f>
        <v>3273.54</v>
      </c>
      <c r="H1045" s="422">
        <f t="shared" ref="H1045:H1047" si="305">IF(G1035&gt;0,(G1045-G1035)/G1035,0)</f>
        <v>-0.22360625566249404</v>
      </c>
      <c r="I1045" s="423">
        <f t="shared" ref="I1045:I1052" si="306">G1045-G1035</f>
        <v>-942.80000000000018</v>
      </c>
    </row>
    <row r="1046" spans="1:9" x14ac:dyDescent="0.2">
      <c r="A1046" s="420" t="s">
        <v>434</v>
      </c>
      <c r="B1046" s="420" t="s">
        <v>351</v>
      </c>
      <c r="C1046" s="420" t="s">
        <v>38</v>
      </c>
      <c r="D1046" s="423">
        <v>0</v>
      </c>
      <c r="E1046" s="423">
        <v>0</v>
      </c>
      <c r="F1046" s="423">
        <v>0</v>
      </c>
      <c r="G1046" s="423">
        <f t="shared" ref="G1046:G1051" si="307">SUM(D1046:F1046)</f>
        <v>0</v>
      </c>
      <c r="H1046" s="422">
        <f t="shared" si="305"/>
        <v>0</v>
      </c>
      <c r="I1046" s="423">
        <f t="shared" si="306"/>
        <v>0</v>
      </c>
    </row>
    <row r="1047" spans="1:9" x14ac:dyDescent="0.2">
      <c r="A1047" s="420" t="s">
        <v>434</v>
      </c>
      <c r="B1047" s="420" t="s">
        <v>345</v>
      </c>
      <c r="C1047" s="420" t="s">
        <v>38</v>
      </c>
      <c r="D1047" s="423">
        <v>17684.830000000002</v>
      </c>
      <c r="E1047" s="423">
        <v>3809.44</v>
      </c>
      <c r="F1047" s="423">
        <v>210705.62</v>
      </c>
      <c r="G1047" s="423">
        <f t="shared" si="307"/>
        <v>232199.88999999998</v>
      </c>
      <c r="H1047" s="422">
        <f t="shared" si="305"/>
        <v>5.0627367815223305E-2</v>
      </c>
      <c r="I1047" s="423">
        <f t="shared" si="306"/>
        <v>11189.189999999973</v>
      </c>
    </row>
    <row r="1048" spans="1:9" x14ac:dyDescent="0.2">
      <c r="A1048" s="420" t="s">
        <v>434</v>
      </c>
      <c r="B1048" s="420" t="s">
        <v>348</v>
      </c>
      <c r="C1048" s="420" t="s">
        <v>38</v>
      </c>
      <c r="D1048" s="423">
        <v>170832.03</v>
      </c>
      <c r="E1048" s="423">
        <v>22018.04</v>
      </c>
      <c r="F1048" s="423">
        <v>619633.96</v>
      </c>
      <c r="G1048" s="423">
        <f t="shared" si="307"/>
        <v>812484.03</v>
      </c>
      <c r="H1048" s="422">
        <f>IF(G1038&gt;0,(G1048-G1038)/G1038,0)</f>
        <v>0.15317381600465552</v>
      </c>
      <c r="I1048" s="423">
        <f t="shared" si="306"/>
        <v>107920.66000000003</v>
      </c>
    </row>
    <row r="1049" spans="1:9" x14ac:dyDescent="0.2">
      <c r="A1049" s="420" t="s">
        <v>434</v>
      </c>
      <c r="B1049" s="420" t="s">
        <v>348</v>
      </c>
      <c r="C1049" s="420" t="s">
        <v>39</v>
      </c>
      <c r="D1049" s="423">
        <v>30550.68</v>
      </c>
      <c r="E1049" s="423">
        <v>8248.7099999999991</v>
      </c>
      <c r="F1049" s="423">
        <v>102465.01</v>
      </c>
      <c r="G1049" s="423">
        <f t="shared" si="307"/>
        <v>141264.4</v>
      </c>
      <c r="H1049" s="422">
        <f>IF(G1039&gt;0,(G1049-G1039)/G1039,0)</f>
        <v>0.10637539339873316</v>
      </c>
      <c r="I1049" s="423">
        <f t="shared" si="306"/>
        <v>13582.239999999991</v>
      </c>
    </row>
    <row r="1050" spans="1:9" x14ac:dyDescent="0.2">
      <c r="A1050" s="420" t="s">
        <v>434</v>
      </c>
      <c r="B1050" s="420" t="s">
        <v>350</v>
      </c>
      <c r="C1050" s="420" t="s">
        <v>38</v>
      </c>
      <c r="D1050" s="423">
        <v>24858.59</v>
      </c>
      <c r="E1050" s="423">
        <v>6411.12</v>
      </c>
      <c r="F1050" s="423">
        <v>28963.72</v>
      </c>
      <c r="G1050" s="423">
        <f t="shared" si="307"/>
        <v>60233.43</v>
      </c>
      <c r="H1050" s="422">
        <f>IF(G1040&gt;0,(G1050-G1040)/G1040,0)</f>
        <v>2.7097774208235025E-2</v>
      </c>
      <c r="I1050" s="423">
        <f t="shared" si="306"/>
        <v>1589.1299999999974</v>
      </c>
    </row>
    <row r="1051" spans="1:9" x14ac:dyDescent="0.2">
      <c r="A1051" s="420" t="s">
        <v>434</v>
      </c>
      <c r="B1051" s="420" t="s">
        <v>350</v>
      </c>
      <c r="C1051" s="420" t="s">
        <v>39</v>
      </c>
      <c r="D1051" s="421">
        <v>0</v>
      </c>
      <c r="E1051" s="421">
        <v>0</v>
      </c>
      <c r="F1051" s="421">
        <v>0</v>
      </c>
      <c r="G1051" s="423">
        <f t="shared" si="307"/>
        <v>0</v>
      </c>
      <c r="H1051" s="422">
        <f>IF(G1041&gt;0,(G1051-G1041)/G1041,0)</f>
        <v>0</v>
      </c>
      <c r="I1051" s="423">
        <f t="shared" si="306"/>
        <v>0</v>
      </c>
    </row>
    <row r="1052" spans="1:9" x14ac:dyDescent="0.2">
      <c r="G1052" s="423">
        <f>SUM(G1045:G1051)</f>
        <v>1249455.2899999998</v>
      </c>
      <c r="H1052" s="422">
        <f>IF(G1042&gt;0,(G1052-G1042)/G1042,0)</f>
        <v>0.11946636018502227</v>
      </c>
      <c r="I1052" s="423">
        <f t="shared" si="306"/>
        <v>133338.41999999969</v>
      </c>
    </row>
    <row r="1054" spans="1:9" ht="15.75" x14ac:dyDescent="0.25">
      <c r="A1054" s="426">
        <v>45016</v>
      </c>
      <c r="B1054" s="424" t="s">
        <v>343</v>
      </c>
      <c r="C1054" s="424" t="s">
        <v>33</v>
      </c>
      <c r="D1054" s="424" t="s">
        <v>34</v>
      </c>
      <c r="E1054" s="424" t="s">
        <v>35</v>
      </c>
      <c r="F1054" s="424" t="s">
        <v>103</v>
      </c>
      <c r="G1054" s="425" t="s">
        <v>9</v>
      </c>
    </row>
    <row r="1055" spans="1:9" x14ac:dyDescent="0.2">
      <c r="A1055" s="420" t="s">
        <v>434</v>
      </c>
      <c r="B1055" s="420" t="s">
        <v>21</v>
      </c>
      <c r="C1055" s="420" t="s">
        <v>38</v>
      </c>
      <c r="D1055" s="423">
        <v>528.22</v>
      </c>
      <c r="E1055" s="423">
        <v>1.5</v>
      </c>
      <c r="F1055" s="423">
        <v>490.09</v>
      </c>
      <c r="G1055" s="423">
        <f>SUM(D1055:F1055)</f>
        <v>1019.81</v>
      </c>
      <c r="H1055" s="422">
        <f t="shared" ref="H1055:H1057" si="308">IF(G1045&gt;0,(G1055-G1045)/G1045,0)</f>
        <v>-0.68846875248202255</v>
      </c>
      <c r="I1055" s="423">
        <f t="shared" ref="I1055:I1062" si="309">G1055-G1045</f>
        <v>-2253.73</v>
      </c>
    </row>
    <row r="1056" spans="1:9" x14ac:dyDescent="0.2">
      <c r="A1056" s="420" t="s">
        <v>434</v>
      </c>
      <c r="B1056" s="420" t="s">
        <v>351</v>
      </c>
      <c r="C1056" s="420" t="s">
        <v>38</v>
      </c>
      <c r="D1056" s="423">
        <v>524.74</v>
      </c>
      <c r="E1056" s="423">
        <v>0</v>
      </c>
      <c r="F1056" s="423">
        <v>0</v>
      </c>
      <c r="G1056" s="423">
        <f t="shared" ref="G1056:G1061" si="310">SUM(D1056:F1056)</f>
        <v>524.74</v>
      </c>
      <c r="H1056" s="422">
        <f t="shared" si="308"/>
        <v>0</v>
      </c>
      <c r="I1056" s="423">
        <f t="shared" si="309"/>
        <v>524.74</v>
      </c>
    </row>
    <row r="1057" spans="1:9" x14ac:dyDescent="0.2">
      <c r="A1057" s="420" t="s">
        <v>434</v>
      </c>
      <c r="B1057" s="420" t="s">
        <v>345</v>
      </c>
      <c r="C1057" s="420" t="s">
        <v>38</v>
      </c>
      <c r="D1057" s="423">
        <v>5315.1</v>
      </c>
      <c r="E1057" s="423">
        <v>13532.68</v>
      </c>
      <c r="F1057" s="423">
        <v>209793.01</v>
      </c>
      <c r="G1057" s="423">
        <f t="shared" si="310"/>
        <v>228640.79</v>
      </c>
      <c r="H1057" s="422">
        <f t="shared" si="308"/>
        <v>-1.532774197265975E-2</v>
      </c>
      <c r="I1057" s="423">
        <f t="shared" si="309"/>
        <v>-3559.0999999999767</v>
      </c>
    </row>
    <row r="1058" spans="1:9" x14ac:dyDescent="0.2">
      <c r="A1058" s="420" t="s">
        <v>434</v>
      </c>
      <c r="B1058" s="420" t="s">
        <v>348</v>
      </c>
      <c r="C1058" s="420" t="s">
        <v>38</v>
      </c>
      <c r="D1058" s="423">
        <v>46146.62</v>
      </c>
      <c r="E1058" s="423">
        <v>147421.1</v>
      </c>
      <c r="F1058" s="423">
        <v>609119.86</v>
      </c>
      <c r="G1058" s="423">
        <f t="shared" si="310"/>
        <v>802687.58</v>
      </c>
      <c r="H1058" s="422">
        <f>IF(G1048&gt;0,(G1058-G1048)/G1048,0)</f>
        <v>-1.2057406223726107E-2</v>
      </c>
      <c r="I1058" s="423">
        <f t="shared" si="309"/>
        <v>-9796.4500000000698</v>
      </c>
    </row>
    <row r="1059" spans="1:9" x14ac:dyDescent="0.2">
      <c r="A1059" s="420" t="s">
        <v>434</v>
      </c>
      <c r="B1059" s="420" t="s">
        <v>348</v>
      </c>
      <c r="C1059" s="420" t="s">
        <v>39</v>
      </c>
      <c r="D1059" s="423">
        <v>9507.4699999999993</v>
      </c>
      <c r="E1059" s="423">
        <v>23693.09</v>
      </c>
      <c r="F1059" s="423">
        <v>97735.23</v>
      </c>
      <c r="G1059" s="423">
        <f t="shared" si="310"/>
        <v>130935.79</v>
      </c>
      <c r="H1059" s="422">
        <f>IF(G1049&gt;0,(G1059-G1049)/G1049,0)</f>
        <v>-7.3115448761329832E-2</v>
      </c>
      <c r="I1059" s="423">
        <f t="shared" si="309"/>
        <v>-10328.61</v>
      </c>
    </row>
    <row r="1060" spans="1:9" x14ac:dyDescent="0.2">
      <c r="A1060" s="420" t="s">
        <v>434</v>
      </c>
      <c r="B1060" s="420" t="s">
        <v>350</v>
      </c>
      <c r="C1060" s="420" t="s">
        <v>38</v>
      </c>
      <c r="D1060" s="423">
        <v>1743.88</v>
      </c>
      <c r="E1060" s="423">
        <v>10317.530000000001</v>
      </c>
      <c r="F1060" s="423">
        <v>26591.94</v>
      </c>
      <c r="G1060" s="423">
        <f t="shared" si="310"/>
        <v>38653.35</v>
      </c>
      <c r="H1060" s="422">
        <f>IF(G1050&gt;0,(G1060-G1050)/G1050,0)</f>
        <v>-0.35827413447980633</v>
      </c>
      <c r="I1060" s="423">
        <f t="shared" si="309"/>
        <v>-21580.080000000002</v>
      </c>
    </row>
    <row r="1061" spans="1:9" x14ac:dyDescent="0.2">
      <c r="A1061" s="420" t="s">
        <v>434</v>
      </c>
      <c r="B1061" s="420" t="s">
        <v>350</v>
      </c>
      <c r="C1061" s="420" t="s">
        <v>39</v>
      </c>
      <c r="D1061" s="421">
        <v>0</v>
      </c>
      <c r="E1061" s="421">
        <v>0</v>
      </c>
      <c r="F1061" s="421">
        <v>0</v>
      </c>
      <c r="G1061" s="423">
        <f t="shared" si="310"/>
        <v>0</v>
      </c>
      <c r="H1061" s="422">
        <f>IF(G1051&gt;0,(G1061-G1051)/G1051,0)</f>
        <v>0</v>
      </c>
      <c r="I1061" s="423">
        <f t="shared" si="309"/>
        <v>0</v>
      </c>
    </row>
    <row r="1062" spans="1:9" x14ac:dyDescent="0.2">
      <c r="G1062" s="423">
        <f>SUM(G1055:G1061)</f>
        <v>1202462.06</v>
      </c>
      <c r="H1062" s="422">
        <f>IF(G1052&gt;0,(G1062-G1052)/G1052,0)</f>
        <v>-3.7610973658769142E-2</v>
      </c>
      <c r="I1062" s="423">
        <f t="shared" si="309"/>
        <v>-46993.229999999749</v>
      </c>
    </row>
    <row r="1064" spans="1:9" ht="15.75" x14ac:dyDescent="0.25">
      <c r="A1064" s="426">
        <v>45046</v>
      </c>
      <c r="B1064" s="424" t="s">
        <v>343</v>
      </c>
      <c r="C1064" s="424" t="s">
        <v>33</v>
      </c>
      <c r="D1064" s="424" t="s">
        <v>34</v>
      </c>
      <c r="E1064" s="424" t="s">
        <v>35</v>
      </c>
      <c r="F1064" s="424" t="s">
        <v>103</v>
      </c>
      <c r="G1064" s="425" t="s">
        <v>9</v>
      </c>
    </row>
    <row r="1065" spans="1:9" x14ac:dyDescent="0.2">
      <c r="A1065" s="420" t="s">
        <v>434</v>
      </c>
      <c r="B1065" s="420" t="s">
        <v>21</v>
      </c>
      <c r="C1065" s="420" t="s">
        <v>38</v>
      </c>
      <c r="D1065" s="423">
        <v>2362.92</v>
      </c>
      <c r="E1065" s="423">
        <v>529.39</v>
      </c>
      <c r="F1065" s="423">
        <v>491.59</v>
      </c>
      <c r="G1065" s="423">
        <f>SUM(D1065:F1065)</f>
        <v>3383.9</v>
      </c>
      <c r="H1065" s="422">
        <f t="shared" ref="H1065:H1067" si="311">IF(G1055&gt;0,(G1065-G1055)/G1055,0)</f>
        <v>2.3181671095596239</v>
      </c>
      <c r="I1065" s="423">
        <f t="shared" ref="I1065:I1072" si="312">G1065-G1055</f>
        <v>2364.09</v>
      </c>
    </row>
    <row r="1066" spans="1:9" x14ac:dyDescent="0.2">
      <c r="A1066" s="420" t="s">
        <v>434</v>
      </c>
      <c r="B1066" s="420" t="s">
        <v>351</v>
      </c>
      <c r="C1066" s="420" t="s">
        <v>38</v>
      </c>
      <c r="D1066" s="423">
        <v>0</v>
      </c>
      <c r="E1066" s="423">
        <v>0</v>
      </c>
      <c r="F1066" s="423">
        <v>0</v>
      </c>
      <c r="G1066" s="423">
        <f t="shared" ref="G1066:G1071" si="313">SUM(D1066:F1066)</f>
        <v>0</v>
      </c>
      <c r="H1066" s="422">
        <f t="shared" si="311"/>
        <v>-1</v>
      </c>
      <c r="I1066" s="423">
        <f t="shared" si="312"/>
        <v>-524.74</v>
      </c>
    </row>
    <row r="1067" spans="1:9" x14ac:dyDescent="0.2">
      <c r="A1067" s="420" t="s">
        <v>434</v>
      </c>
      <c r="B1067" s="420" t="s">
        <v>345</v>
      </c>
      <c r="C1067" s="420" t="s">
        <v>38</v>
      </c>
      <c r="D1067" s="423">
        <v>9345.57</v>
      </c>
      <c r="E1067" s="423">
        <v>4546.62</v>
      </c>
      <c r="F1067" s="423">
        <v>220868.81</v>
      </c>
      <c r="G1067" s="423">
        <f t="shared" si="313"/>
        <v>234761</v>
      </c>
      <c r="H1067" s="422">
        <f t="shared" si="311"/>
        <v>2.6767795895036889E-2</v>
      </c>
      <c r="I1067" s="423">
        <f t="shared" si="312"/>
        <v>6120.2099999999919</v>
      </c>
    </row>
    <row r="1068" spans="1:9" x14ac:dyDescent="0.2">
      <c r="A1068" s="420" t="s">
        <v>434</v>
      </c>
      <c r="B1068" s="420" t="s">
        <v>348</v>
      </c>
      <c r="C1068" s="420" t="s">
        <v>38</v>
      </c>
      <c r="D1068" s="423">
        <v>34542.33</v>
      </c>
      <c r="E1068" s="423">
        <v>39815.01</v>
      </c>
      <c r="F1068" s="423">
        <v>729080.53</v>
      </c>
      <c r="G1068" s="423">
        <f t="shared" si="313"/>
        <v>803437.87</v>
      </c>
      <c r="H1068" s="422">
        <f>IF(G1058&gt;0,(G1068-G1058)/G1058,0)</f>
        <v>9.3472232372156217E-4</v>
      </c>
      <c r="I1068" s="423">
        <f t="shared" si="312"/>
        <v>750.29000000003725</v>
      </c>
    </row>
    <row r="1069" spans="1:9" x14ac:dyDescent="0.2">
      <c r="A1069" s="420" t="s">
        <v>434</v>
      </c>
      <c r="B1069" s="420" t="s">
        <v>348</v>
      </c>
      <c r="C1069" s="420" t="s">
        <v>39</v>
      </c>
      <c r="D1069" s="423">
        <v>10059.24</v>
      </c>
      <c r="E1069" s="423">
        <v>8070.08</v>
      </c>
      <c r="F1069" s="423">
        <v>103128.39</v>
      </c>
      <c r="G1069" s="423">
        <f t="shared" si="313"/>
        <v>121257.70999999999</v>
      </c>
      <c r="H1069" s="422">
        <f>IF(G1059&gt;0,(G1069-G1059)/G1059,0)</f>
        <v>-7.3914702771488247E-2</v>
      </c>
      <c r="I1069" s="423">
        <f t="shared" si="312"/>
        <v>-9678.0800000000017</v>
      </c>
    </row>
    <row r="1070" spans="1:9" x14ac:dyDescent="0.2">
      <c r="A1070" s="420" t="s">
        <v>434</v>
      </c>
      <c r="B1070" s="420" t="s">
        <v>350</v>
      </c>
      <c r="C1070" s="420" t="s">
        <v>38</v>
      </c>
      <c r="D1070" s="423">
        <v>1452.94</v>
      </c>
      <c r="E1070" s="423">
        <v>1401.7</v>
      </c>
      <c r="F1070" s="423">
        <v>35144.81</v>
      </c>
      <c r="G1070" s="423">
        <f t="shared" si="313"/>
        <v>37999.449999999997</v>
      </c>
      <c r="H1070" s="422">
        <f>IF(G1060&gt;0,(G1070-G1060)/G1060,0)</f>
        <v>-1.6917033064404546E-2</v>
      </c>
      <c r="I1070" s="423">
        <f t="shared" si="312"/>
        <v>-653.90000000000146</v>
      </c>
    </row>
    <row r="1071" spans="1:9" x14ac:dyDescent="0.2">
      <c r="A1071" s="420" t="s">
        <v>434</v>
      </c>
      <c r="B1071" s="420" t="s">
        <v>350</v>
      </c>
      <c r="C1071" s="420" t="s">
        <v>39</v>
      </c>
      <c r="D1071" s="421">
        <v>0</v>
      </c>
      <c r="E1071" s="421">
        <v>0</v>
      </c>
      <c r="F1071" s="421">
        <v>0</v>
      </c>
      <c r="G1071" s="423">
        <f t="shared" si="313"/>
        <v>0</v>
      </c>
      <c r="H1071" s="422">
        <f>IF(G1061&gt;0,(G1071-G1061)/G1061,0)</f>
        <v>0</v>
      </c>
      <c r="I1071" s="423">
        <f t="shared" si="312"/>
        <v>0</v>
      </c>
    </row>
    <row r="1072" spans="1:9" x14ac:dyDescent="0.2">
      <c r="G1072" s="423">
        <f>SUM(G1065:G1071)</f>
        <v>1200839.93</v>
      </c>
      <c r="H1072" s="422">
        <f>IF(G1062&gt;0,(G1072-G1062)/G1062,0)</f>
        <v>-1.3490072194045947E-3</v>
      </c>
      <c r="I1072" s="423">
        <f t="shared" si="312"/>
        <v>-1622.1300000001211</v>
      </c>
    </row>
    <row r="1074" spans="1:9" ht="15.75" x14ac:dyDescent="0.25">
      <c r="A1074" s="426">
        <v>45077</v>
      </c>
      <c r="B1074" s="424" t="s">
        <v>343</v>
      </c>
      <c r="C1074" s="424" t="s">
        <v>33</v>
      </c>
      <c r="D1074" s="424" t="s">
        <v>34</v>
      </c>
      <c r="E1074" s="424" t="s">
        <v>35</v>
      </c>
      <c r="F1074" s="424" t="s">
        <v>103</v>
      </c>
      <c r="G1074" s="425" t="s">
        <v>9</v>
      </c>
    </row>
    <row r="1075" spans="1:9" x14ac:dyDescent="0.2">
      <c r="A1075" s="420" t="s">
        <v>434</v>
      </c>
      <c r="B1075" s="420" t="s">
        <v>21</v>
      </c>
      <c r="C1075" s="420" t="s">
        <v>38</v>
      </c>
      <c r="D1075" s="423">
        <v>617.91</v>
      </c>
      <c r="E1075" s="423">
        <v>1120.2</v>
      </c>
      <c r="F1075" s="423">
        <v>499.09</v>
      </c>
      <c r="G1075" s="423">
        <f>SUM(D1075:F1075)</f>
        <v>2237.2000000000003</v>
      </c>
      <c r="H1075" s="422">
        <f t="shared" ref="H1075:H1077" si="314">IF(G1065&gt;0,(G1075-G1065)/G1065,0)</f>
        <v>-0.3388693519312036</v>
      </c>
      <c r="I1075" s="423">
        <f t="shared" ref="I1075:I1082" si="315">G1075-G1065</f>
        <v>-1146.6999999999998</v>
      </c>
    </row>
    <row r="1076" spans="1:9" x14ac:dyDescent="0.2">
      <c r="A1076" s="420" t="s">
        <v>434</v>
      </c>
      <c r="B1076" s="420" t="s">
        <v>351</v>
      </c>
      <c r="C1076" s="420" t="s">
        <v>38</v>
      </c>
      <c r="D1076" s="423">
        <v>947.37</v>
      </c>
      <c r="E1076" s="423">
        <v>0</v>
      </c>
      <c r="F1076" s="423">
        <v>0</v>
      </c>
      <c r="G1076" s="423">
        <f t="shared" ref="G1076:G1081" si="316">SUM(D1076:F1076)</f>
        <v>947.37</v>
      </c>
      <c r="H1076" s="422">
        <f t="shared" si="314"/>
        <v>0</v>
      </c>
      <c r="I1076" s="423">
        <f t="shared" si="315"/>
        <v>947.37</v>
      </c>
    </row>
    <row r="1077" spans="1:9" x14ac:dyDescent="0.2">
      <c r="A1077" s="420" t="s">
        <v>434</v>
      </c>
      <c r="B1077" s="420" t="s">
        <v>345</v>
      </c>
      <c r="C1077" s="420" t="s">
        <v>38</v>
      </c>
      <c r="D1077" s="423">
        <v>13824.55</v>
      </c>
      <c r="E1077" s="423">
        <v>4765.6000000000004</v>
      </c>
      <c r="F1077" s="423">
        <v>219297.05</v>
      </c>
      <c r="G1077" s="423">
        <f t="shared" si="316"/>
        <v>237887.19999999998</v>
      </c>
      <c r="H1077" s="422">
        <f t="shared" si="314"/>
        <v>1.3316521909516413E-2</v>
      </c>
      <c r="I1077" s="423">
        <f t="shared" si="315"/>
        <v>3126.1999999999825</v>
      </c>
    </row>
    <row r="1078" spans="1:9" x14ac:dyDescent="0.2">
      <c r="A1078" s="420" t="s">
        <v>434</v>
      </c>
      <c r="B1078" s="420" t="s">
        <v>348</v>
      </c>
      <c r="C1078" s="420" t="s">
        <v>38</v>
      </c>
      <c r="D1078" s="423">
        <v>61574.66</v>
      </c>
      <c r="E1078" s="423">
        <v>30895.38</v>
      </c>
      <c r="F1078" s="423">
        <v>729733.44</v>
      </c>
      <c r="G1078" s="423">
        <f t="shared" si="316"/>
        <v>822203.48</v>
      </c>
      <c r="H1078" s="422">
        <f>IF(G1068&gt;0,(G1078-G1068)/G1068,0)</f>
        <v>2.3356641130197146E-2</v>
      </c>
      <c r="I1078" s="423">
        <f t="shared" si="315"/>
        <v>18765.609999999986</v>
      </c>
    </row>
    <row r="1079" spans="1:9" x14ac:dyDescent="0.2">
      <c r="A1079" s="420" t="s">
        <v>434</v>
      </c>
      <c r="B1079" s="420" t="s">
        <v>348</v>
      </c>
      <c r="C1079" s="420" t="s">
        <v>39</v>
      </c>
      <c r="D1079" s="423">
        <v>27394.81</v>
      </c>
      <c r="E1079" s="423">
        <v>11507.89</v>
      </c>
      <c r="F1079" s="423">
        <v>97216.99</v>
      </c>
      <c r="G1079" s="423">
        <f t="shared" si="316"/>
        <v>136119.69</v>
      </c>
      <c r="H1079" s="422">
        <f>IF(G1069&gt;0,(G1079-G1069)/G1069,0)</f>
        <v>0.12256523729501416</v>
      </c>
      <c r="I1079" s="423">
        <f t="shared" si="315"/>
        <v>14861.98000000001</v>
      </c>
    </row>
    <row r="1080" spans="1:9" x14ac:dyDescent="0.2">
      <c r="A1080" s="420" t="s">
        <v>434</v>
      </c>
      <c r="B1080" s="420" t="s">
        <v>350</v>
      </c>
      <c r="C1080" s="420" t="s">
        <v>38</v>
      </c>
      <c r="D1080" s="423">
        <v>13759.2</v>
      </c>
      <c r="E1080" s="423">
        <v>329.82</v>
      </c>
      <c r="F1080" s="423">
        <v>26917.93</v>
      </c>
      <c r="G1080" s="423">
        <f t="shared" si="316"/>
        <v>41006.949999999997</v>
      </c>
      <c r="H1080" s="422">
        <f>IF(G1070&gt;0,(G1080-G1070)/G1070,0)</f>
        <v>7.9145882374613327E-2</v>
      </c>
      <c r="I1080" s="423">
        <f t="shared" si="315"/>
        <v>3007.5</v>
      </c>
    </row>
    <row r="1081" spans="1:9" x14ac:dyDescent="0.2">
      <c r="A1081" s="420" t="s">
        <v>434</v>
      </c>
      <c r="B1081" s="420" t="s">
        <v>350</v>
      </c>
      <c r="C1081" s="420" t="s">
        <v>39</v>
      </c>
      <c r="D1081" s="421">
        <v>0</v>
      </c>
      <c r="E1081" s="421">
        <v>0</v>
      </c>
      <c r="F1081" s="421">
        <v>0</v>
      </c>
      <c r="G1081" s="423">
        <f t="shared" si="316"/>
        <v>0</v>
      </c>
      <c r="H1081" s="422">
        <f>IF(G1071&gt;0,(G1081-G1071)/G1071,0)</f>
        <v>0</v>
      </c>
      <c r="I1081" s="423">
        <f t="shared" si="315"/>
        <v>0</v>
      </c>
    </row>
    <row r="1082" spans="1:9" x14ac:dyDescent="0.2">
      <c r="G1082" s="423">
        <f>SUM(G1075:G1081)</f>
        <v>1240401.8899999999</v>
      </c>
      <c r="H1082" s="422">
        <f>IF(G1072&gt;0,(G1082-G1072)/G1072,0)</f>
        <v>3.2945240253628112E-2</v>
      </c>
      <c r="I1082" s="423">
        <f t="shared" si="315"/>
        <v>39561.959999999963</v>
      </c>
    </row>
    <row r="1084" spans="1:9" ht="15.75" x14ac:dyDescent="0.25">
      <c r="A1084" s="426">
        <v>45107</v>
      </c>
      <c r="B1084" s="424" t="s">
        <v>343</v>
      </c>
      <c r="C1084" s="424" t="s">
        <v>33</v>
      </c>
      <c r="D1084" s="424" t="s">
        <v>34</v>
      </c>
      <c r="E1084" s="424" t="s">
        <v>35</v>
      </c>
      <c r="F1084" s="424" t="s">
        <v>103</v>
      </c>
      <c r="G1084" s="425" t="s">
        <v>9</v>
      </c>
    </row>
    <row r="1085" spans="1:9" x14ac:dyDescent="0.2">
      <c r="A1085" s="420" t="s">
        <v>434</v>
      </c>
      <c r="B1085" s="420" t="s">
        <v>21</v>
      </c>
      <c r="C1085" s="420" t="s">
        <v>38</v>
      </c>
      <c r="D1085" s="423">
        <v>527.79</v>
      </c>
      <c r="E1085" s="423">
        <v>0</v>
      </c>
      <c r="F1085" s="423">
        <v>1650.71</v>
      </c>
      <c r="G1085" s="423">
        <f>SUM(D1085:F1085)</f>
        <v>2178.5</v>
      </c>
      <c r="H1085" s="422">
        <f t="shared" ref="H1085:H1087" si="317">IF(G1075&gt;0,(G1085-G1075)/G1075,0)</f>
        <v>-2.6238154836402766E-2</v>
      </c>
      <c r="I1085" s="423">
        <f t="shared" ref="I1085:I1092" si="318">G1085-G1075</f>
        <v>-58.700000000000273</v>
      </c>
    </row>
    <row r="1086" spans="1:9" x14ac:dyDescent="0.2">
      <c r="A1086" s="420" t="s">
        <v>434</v>
      </c>
      <c r="B1086" s="420" t="s">
        <v>351</v>
      </c>
      <c r="C1086" s="420" t="s">
        <v>38</v>
      </c>
      <c r="D1086" s="423">
        <v>0</v>
      </c>
      <c r="E1086" s="423">
        <v>0</v>
      </c>
      <c r="F1086" s="423">
        <v>0</v>
      </c>
      <c r="G1086" s="423">
        <f t="shared" ref="G1086:G1091" si="319">SUM(D1086:F1086)</f>
        <v>0</v>
      </c>
      <c r="H1086" s="422">
        <f t="shared" si="317"/>
        <v>-1</v>
      </c>
      <c r="I1086" s="423">
        <f t="shared" si="318"/>
        <v>-947.37</v>
      </c>
    </row>
    <row r="1087" spans="1:9" x14ac:dyDescent="0.2">
      <c r="A1087" s="420" t="s">
        <v>434</v>
      </c>
      <c r="B1087" s="420" t="s">
        <v>345</v>
      </c>
      <c r="C1087" s="420" t="s">
        <v>38</v>
      </c>
      <c r="D1087" s="423">
        <v>8580.51</v>
      </c>
      <c r="E1087" s="423">
        <v>10887.89</v>
      </c>
      <c r="F1087" s="423">
        <v>220081.3</v>
      </c>
      <c r="G1087" s="423">
        <f t="shared" si="319"/>
        <v>239549.69999999998</v>
      </c>
      <c r="H1087" s="422">
        <f t="shared" si="317"/>
        <v>6.9886063646972182E-3</v>
      </c>
      <c r="I1087" s="423">
        <f t="shared" si="318"/>
        <v>1662.5</v>
      </c>
    </row>
    <row r="1088" spans="1:9" x14ac:dyDescent="0.2">
      <c r="A1088" s="420" t="s">
        <v>434</v>
      </c>
      <c r="B1088" s="420" t="s">
        <v>348</v>
      </c>
      <c r="C1088" s="420" t="s">
        <v>38</v>
      </c>
      <c r="D1088" s="423">
        <v>54539</v>
      </c>
      <c r="E1088" s="423">
        <v>39574.01</v>
      </c>
      <c r="F1088" s="423">
        <v>734075.18</v>
      </c>
      <c r="G1088" s="423">
        <f t="shared" si="319"/>
        <v>828188.19000000006</v>
      </c>
      <c r="H1088" s="422">
        <f>IF(G1078&gt;0,(G1088-G1078)/G1078,0)</f>
        <v>7.2788672701799796E-3</v>
      </c>
      <c r="I1088" s="423">
        <f t="shared" si="318"/>
        <v>5984.7100000000792</v>
      </c>
    </row>
    <row r="1089" spans="1:9" x14ac:dyDescent="0.2">
      <c r="A1089" s="420" t="s">
        <v>434</v>
      </c>
      <c r="B1089" s="420" t="s">
        <v>348</v>
      </c>
      <c r="C1089" s="420" t="s">
        <v>39</v>
      </c>
      <c r="D1089" s="423">
        <v>14056.38</v>
      </c>
      <c r="E1089" s="423">
        <v>21977.58</v>
      </c>
      <c r="F1089" s="423">
        <v>97446.3</v>
      </c>
      <c r="G1089" s="423">
        <f t="shared" si="319"/>
        <v>133480.26</v>
      </c>
      <c r="H1089" s="422">
        <f>IF(G1079&gt;0,(G1089-G1079)/G1079,0)</f>
        <v>-1.9390508456197577E-2</v>
      </c>
      <c r="I1089" s="423">
        <f t="shared" si="318"/>
        <v>-2639.429999999993</v>
      </c>
    </row>
    <row r="1090" spans="1:9" x14ac:dyDescent="0.2">
      <c r="A1090" s="420" t="s">
        <v>434</v>
      </c>
      <c r="B1090" s="420" t="s">
        <v>350</v>
      </c>
      <c r="C1090" s="420" t="s">
        <v>38</v>
      </c>
      <c r="D1090" s="423">
        <v>1548.65</v>
      </c>
      <c r="E1090" s="423">
        <v>12740.03</v>
      </c>
      <c r="F1090" s="423">
        <v>26019.58</v>
      </c>
      <c r="G1090" s="423">
        <f t="shared" si="319"/>
        <v>40308.26</v>
      </c>
      <c r="H1090" s="422">
        <f>IF(G1080&gt;0,(G1090-G1080)/G1080,0)</f>
        <v>-1.7038331307253896E-2</v>
      </c>
      <c r="I1090" s="423">
        <f t="shared" si="318"/>
        <v>-698.68999999999505</v>
      </c>
    </row>
    <row r="1091" spans="1:9" x14ac:dyDescent="0.2">
      <c r="A1091" s="420" t="s">
        <v>434</v>
      </c>
      <c r="B1091" s="420" t="s">
        <v>350</v>
      </c>
      <c r="C1091" s="420" t="s">
        <v>39</v>
      </c>
      <c r="D1091" s="421">
        <v>0</v>
      </c>
      <c r="E1091" s="421">
        <v>0</v>
      </c>
      <c r="F1091" s="421">
        <v>0</v>
      </c>
      <c r="G1091" s="423">
        <f t="shared" si="319"/>
        <v>0</v>
      </c>
      <c r="H1091" s="422">
        <f>IF(G1081&gt;0,(G1091-G1081)/G1081,0)</f>
        <v>0</v>
      </c>
      <c r="I1091" s="423">
        <f t="shared" si="318"/>
        <v>0</v>
      </c>
    </row>
    <row r="1092" spans="1:9" x14ac:dyDescent="0.2">
      <c r="G1092" s="423">
        <f>SUM(G1085:G1091)</f>
        <v>1243704.9100000001</v>
      </c>
      <c r="H1092" s="422">
        <f>IF(G1082&gt;0,(G1092-G1082)/G1082,0)</f>
        <v>2.6628627597465623E-3</v>
      </c>
      <c r="I1092" s="423">
        <f t="shared" si="318"/>
        <v>3303.0200000002515</v>
      </c>
    </row>
    <row r="1094" spans="1:9" ht="15.75" x14ac:dyDescent="0.25">
      <c r="A1094" s="426">
        <v>45138</v>
      </c>
      <c r="B1094" s="424" t="s">
        <v>343</v>
      </c>
      <c r="C1094" s="424" t="s">
        <v>33</v>
      </c>
      <c r="D1094" s="424" t="s">
        <v>34</v>
      </c>
      <c r="E1094" s="424" t="s">
        <v>35</v>
      </c>
      <c r="F1094" s="424" t="s">
        <v>103</v>
      </c>
      <c r="G1094" s="425" t="s">
        <v>9</v>
      </c>
    </row>
    <row r="1095" spans="1:9" x14ac:dyDescent="0.2">
      <c r="A1095" s="420" t="s">
        <v>437</v>
      </c>
      <c r="B1095" s="420" t="s">
        <v>21</v>
      </c>
      <c r="C1095" s="420" t="s">
        <v>38</v>
      </c>
      <c r="D1095" s="423">
        <v>1319.78</v>
      </c>
      <c r="E1095" s="423">
        <v>527.88</v>
      </c>
      <c r="F1095" s="423">
        <v>1635.41</v>
      </c>
      <c r="G1095" s="423">
        <f>SUM(D1095:F1095)</f>
        <v>3483.0699999999997</v>
      </c>
      <c r="H1095" s="422">
        <f t="shared" ref="H1095:H1097" si="320">IF(G1085&gt;0,(G1095-G1085)/G1085,0)</f>
        <v>0.59883865044755558</v>
      </c>
      <c r="I1095" s="423">
        <f t="shared" ref="I1095:I1102" si="321">G1095-G1085</f>
        <v>1304.5699999999997</v>
      </c>
    </row>
    <row r="1096" spans="1:9" x14ac:dyDescent="0.2">
      <c r="A1096" s="420" t="s">
        <v>437</v>
      </c>
      <c r="B1096" s="420" t="s">
        <v>351</v>
      </c>
      <c r="C1096" s="420" t="s">
        <v>38</v>
      </c>
      <c r="D1096" s="423">
        <v>0</v>
      </c>
      <c r="E1096" s="423">
        <v>0</v>
      </c>
      <c r="F1096" s="423">
        <v>0</v>
      </c>
      <c r="G1096" s="423">
        <f t="shared" ref="G1096:G1101" si="322">SUM(D1096:F1096)</f>
        <v>0</v>
      </c>
      <c r="H1096" s="422">
        <f t="shared" si="320"/>
        <v>0</v>
      </c>
      <c r="I1096" s="423">
        <f t="shared" si="321"/>
        <v>0</v>
      </c>
    </row>
    <row r="1097" spans="1:9" x14ac:dyDescent="0.2">
      <c r="A1097" s="420" t="s">
        <v>437</v>
      </c>
      <c r="B1097" s="420" t="s">
        <v>345</v>
      </c>
      <c r="C1097" s="420" t="s">
        <v>38</v>
      </c>
      <c r="D1097" s="423">
        <v>12828.63</v>
      </c>
      <c r="E1097" s="423">
        <v>7341.46</v>
      </c>
      <c r="F1097" s="423">
        <v>225398.94</v>
      </c>
      <c r="G1097" s="423">
        <f t="shared" si="322"/>
        <v>245569.03</v>
      </c>
      <c r="H1097" s="422">
        <f t="shared" si="320"/>
        <v>2.512768749032045E-2</v>
      </c>
      <c r="I1097" s="423">
        <f t="shared" si="321"/>
        <v>6019.3300000000163</v>
      </c>
    </row>
    <row r="1098" spans="1:9" x14ac:dyDescent="0.2">
      <c r="A1098" s="420" t="s">
        <v>437</v>
      </c>
      <c r="B1098" s="420" t="s">
        <v>348</v>
      </c>
      <c r="C1098" s="420" t="s">
        <v>38</v>
      </c>
      <c r="D1098" s="423">
        <v>39299.56</v>
      </c>
      <c r="E1098" s="423">
        <v>46630.04</v>
      </c>
      <c r="F1098" s="423">
        <v>743837.07</v>
      </c>
      <c r="G1098" s="423">
        <f t="shared" si="322"/>
        <v>829766.66999999993</v>
      </c>
      <c r="H1098" s="422">
        <f>IF(G1088&gt;0,(G1098-G1088)/G1088,0)</f>
        <v>1.9059436237552057E-3</v>
      </c>
      <c r="I1098" s="423">
        <f t="shared" si="321"/>
        <v>1578.479999999865</v>
      </c>
    </row>
    <row r="1099" spans="1:9" x14ac:dyDescent="0.2">
      <c r="A1099" s="420" t="s">
        <v>437</v>
      </c>
      <c r="B1099" s="420" t="s">
        <v>348</v>
      </c>
      <c r="C1099" s="420" t="s">
        <v>39</v>
      </c>
      <c r="D1099" s="423">
        <v>10506.06</v>
      </c>
      <c r="E1099" s="423">
        <v>12685.52</v>
      </c>
      <c r="F1099" s="423">
        <v>103642.52</v>
      </c>
      <c r="G1099" s="423">
        <f t="shared" si="322"/>
        <v>126834.1</v>
      </c>
      <c r="H1099" s="422">
        <f>IF(G1089&gt;0,(G1099-G1089)/G1089,0)</f>
        <v>-4.9791332441216425E-2</v>
      </c>
      <c r="I1099" s="423">
        <f t="shared" si="321"/>
        <v>-6646.1600000000035</v>
      </c>
    </row>
    <row r="1100" spans="1:9" x14ac:dyDescent="0.2">
      <c r="A1100" s="420" t="s">
        <v>437</v>
      </c>
      <c r="B1100" s="420" t="s">
        <v>350</v>
      </c>
      <c r="C1100" s="420" t="s">
        <v>38</v>
      </c>
      <c r="D1100" s="423">
        <v>499.22</v>
      </c>
      <c r="E1100" s="423">
        <v>1291.49</v>
      </c>
      <c r="F1100" s="423">
        <v>37305.370000000003</v>
      </c>
      <c r="G1100" s="423">
        <f t="shared" si="322"/>
        <v>39096.080000000002</v>
      </c>
      <c r="H1100" s="422">
        <f>IF(G1090&gt;0,(G1100-G1090)/G1090,0)</f>
        <v>-3.0072744395317492E-2</v>
      </c>
      <c r="I1100" s="423">
        <f t="shared" si="321"/>
        <v>-1212.1800000000003</v>
      </c>
    </row>
    <row r="1101" spans="1:9" x14ac:dyDescent="0.2">
      <c r="A1101" s="420" t="s">
        <v>437</v>
      </c>
      <c r="B1101" s="420" t="s">
        <v>350</v>
      </c>
      <c r="C1101" s="420" t="s">
        <v>39</v>
      </c>
      <c r="D1101" s="421">
        <v>0</v>
      </c>
      <c r="E1101" s="421">
        <v>0</v>
      </c>
      <c r="F1101" s="421">
        <v>0</v>
      </c>
      <c r="G1101" s="423">
        <f t="shared" si="322"/>
        <v>0</v>
      </c>
      <c r="H1101" s="422">
        <f>IF(G1091&gt;0,(G1101-G1091)/G1091,0)</f>
        <v>0</v>
      </c>
      <c r="I1101" s="423">
        <f t="shared" si="321"/>
        <v>0</v>
      </c>
    </row>
    <row r="1102" spans="1:9" x14ac:dyDescent="0.2">
      <c r="G1102" s="423">
        <f>SUM(G1095:G1101)</f>
        <v>1244748.9500000002</v>
      </c>
      <c r="H1102" s="422">
        <f>IF(G1092&gt;0,(G1102-G1092)/G1092,0)</f>
        <v>8.3945957888036083E-4</v>
      </c>
      <c r="I1102" s="423">
        <f t="shared" si="321"/>
        <v>1044.0400000000373</v>
      </c>
    </row>
    <row r="1104" spans="1:9" ht="15.75" x14ac:dyDescent="0.25">
      <c r="A1104" s="426">
        <v>45169</v>
      </c>
      <c r="B1104" s="424" t="s">
        <v>343</v>
      </c>
      <c r="C1104" s="424" t="s">
        <v>33</v>
      </c>
      <c r="D1104" s="424" t="s">
        <v>34</v>
      </c>
      <c r="E1104" s="424" t="s">
        <v>35</v>
      </c>
      <c r="F1104" s="424" t="s">
        <v>103</v>
      </c>
      <c r="G1104" s="425" t="s">
        <v>9</v>
      </c>
    </row>
    <row r="1105" spans="1:9" x14ac:dyDescent="0.2">
      <c r="A1105" s="420" t="s">
        <v>437</v>
      </c>
      <c r="B1105" s="420" t="s">
        <v>21</v>
      </c>
      <c r="C1105" s="420" t="s">
        <v>38</v>
      </c>
      <c r="D1105" s="423">
        <v>1009.22</v>
      </c>
      <c r="E1105" s="423">
        <v>805.71</v>
      </c>
      <c r="F1105" s="423">
        <v>785.35</v>
      </c>
      <c r="G1105" s="423">
        <f>SUM(D1105:F1105)</f>
        <v>2600.2800000000002</v>
      </c>
      <c r="H1105" s="422">
        <f t="shared" ref="H1105:H1107" si="323">IF(G1095&gt;0,(G1105-G1095)/G1095,0)</f>
        <v>-0.25345169634833625</v>
      </c>
      <c r="I1105" s="423">
        <f t="shared" ref="I1105:I1112" si="324">G1105-G1095</f>
        <v>-882.78999999999951</v>
      </c>
    </row>
    <row r="1106" spans="1:9" x14ac:dyDescent="0.2">
      <c r="A1106" s="420" t="s">
        <v>437</v>
      </c>
      <c r="B1106" s="420" t="s">
        <v>351</v>
      </c>
      <c r="C1106" s="420" t="s">
        <v>38</v>
      </c>
      <c r="D1106" s="423">
        <v>0</v>
      </c>
      <c r="E1106" s="423">
        <v>0</v>
      </c>
      <c r="F1106" s="423">
        <v>0</v>
      </c>
      <c r="G1106" s="423">
        <f t="shared" ref="G1106:G1111" si="325">SUM(D1106:F1106)</f>
        <v>0</v>
      </c>
      <c r="H1106" s="422">
        <f t="shared" si="323"/>
        <v>0</v>
      </c>
      <c r="I1106" s="423">
        <f t="shared" si="324"/>
        <v>0</v>
      </c>
    </row>
    <row r="1107" spans="1:9" x14ac:dyDescent="0.2">
      <c r="A1107" s="420" t="s">
        <v>437</v>
      </c>
      <c r="B1107" s="420" t="s">
        <v>345</v>
      </c>
      <c r="C1107" s="420" t="s">
        <v>38</v>
      </c>
      <c r="D1107" s="423">
        <v>9958.89</v>
      </c>
      <c r="E1107" s="423">
        <v>11827.81</v>
      </c>
      <c r="F1107" s="423">
        <v>229919.28</v>
      </c>
      <c r="G1107" s="423">
        <f t="shared" si="325"/>
        <v>251705.97999999998</v>
      </c>
      <c r="H1107" s="422">
        <f t="shared" si="323"/>
        <v>2.4990732748343642E-2</v>
      </c>
      <c r="I1107" s="423">
        <f t="shared" si="324"/>
        <v>6136.9499999999825</v>
      </c>
    </row>
    <row r="1108" spans="1:9" x14ac:dyDescent="0.2">
      <c r="A1108" s="420" t="s">
        <v>437</v>
      </c>
      <c r="B1108" s="420" t="s">
        <v>348</v>
      </c>
      <c r="C1108" s="420" t="s">
        <v>38</v>
      </c>
      <c r="D1108" s="423">
        <v>46417.66</v>
      </c>
      <c r="E1108" s="423">
        <v>31465.46</v>
      </c>
      <c r="F1108" s="423">
        <v>767833.23</v>
      </c>
      <c r="G1108" s="423">
        <f t="shared" si="325"/>
        <v>845716.35</v>
      </c>
      <c r="H1108" s="422">
        <f>IF(G1098&gt;0,(G1108-G1098)/G1098,0)</f>
        <v>1.9221885593452497E-2</v>
      </c>
      <c r="I1108" s="423">
        <f t="shared" si="324"/>
        <v>15949.680000000051</v>
      </c>
    </row>
    <row r="1109" spans="1:9" x14ac:dyDescent="0.2">
      <c r="A1109" s="420" t="s">
        <v>437</v>
      </c>
      <c r="B1109" s="420" t="s">
        <v>348</v>
      </c>
      <c r="C1109" s="420" t="s">
        <v>39</v>
      </c>
      <c r="D1109" s="423">
        <v>23686.13</v>
      </c>
      <c r="E1109" s="423">
        <v>8142.93</v>
      </c>
      <c r="F1109" s="423">
        <v>100926.56</v>
      </c>
      <c r="G1109" s="423">
        <f t="shared" si="325"/>
        <v>132755.62</v>
      </c>
      <c r="H1109" s="422">
        <f>IF(G1099&gt;0,(G1109-G1099)/G1099,0)</f>
        <v>4.6687129092255072E-2</v>
      </c>
      <c r="I1109" s="423">
        <f t="shared" si="324"/>
        <v>5921.5199999999895</v>
      </c>
    </row>
    <row r="1110" spans="1:9" x14ac:dyDescent="0.2">
      <c r="A1110" s="420" t="s">
        <v>437</v>
      </c>
      <c r="B1110" s="420" t="s">
        <v>350</v>
      </c>
      <c r="C1110" s="420" t="s">
        <v>38</v>
      </c>
      <c r="D1110" s="423">
        <v>42711.05</v>
      </c>
      <c r="E1110" s="423">
        <v>694.46</v>
      </c>
      <c r="F1110" s="423">
        <v>37680.550000000003</v>
      </c>
      <c r="G1110" s="423">
        <f t="shared" si="325"/>
        <v>81086.06</v>
      </c>
      <c r="H1110" s="422">
        <f>IF(G1100&gt;0,(G1110-G1100)/G1100,0)</f>
        <v>1.0740202086756523</v>
      </c>
      <c r="I1110" s="423">
        <f t="shared" si="324"/>
        <v>41989.979999999996</v>
      </c>
    </row>
    <row r="1111" spans="1:9" x14ac:dyDescent="0.2">
      <c r="A1111" s="420" t="s">
        <v>437</v>
      </c>
      <c r="B1111" s="420" t="s">
        <v>350</v>
      </c>
      <c r="C1111" s="420" t="s">
        <v>39</v>
      </c>
      <c r="D1111" s="421">
        <v>0</v>
      </c>
      <c r="E1111" s="421">
        <v>0</v>
      </c>
      <c r="F1111" s="421">
        <v>0</v>
      </c>
      <c r="G1111" s="423">
        <f t="shared" si="325"/>
        <v>0</v>
      </c>
      <c r="H1111" s="422">
        <f>IF(G1101&gt;0,(G1111-G1101)/G1101,0)</f>
        <v>0</v>
      </c>
      <c r="I1111" s="423">
        <f t="shared" si="324"/>
        <v>0</v>
      </c>
    </row>
    <row r="1112" spans="1:9" x14ac:dyDescent="0.2">
      <c r="G1112" s="423">
        <f>SUM(G1105:G1111)</f>
        <v>1313864.29</v>
      </c>
      <c r="H1112" s="422">
        <f>IF(G1102&gt;0,(G1112-G1102)/G1102,0)</f>
        <v>5.5525525850011637E-2</v>
      </c>
      <c r="I1112" s="423">
        <f t="shared" si="324"/>
        <v>69115.339999999851</v>
      </c>
    </row>
    <row r="1114" spans="1:9" ht="15.75" x14ac:dyDescent="0.25">
      <c r="A1114" s="426">
        <v>45199</v>
      </c>
      <c r="B1114" s="424" t="s">
        <v>343</v>
      </c>
      <c r="C1114" s="424" t="s">
        <v>33</v>
      </c>
      <c r="D1114" s="424" t="s">
        <v>34</v>
      </c>
      <c r="E1114" s="424" t="s">
        <v>35</v>
      </c>
      <c r="F1114" s="424" t="s">
        <v>103</v>
      </c>
      <c r="G1114" s="425" t="s">
        <v>9</v>
      </c>
    </row>
    <row r="1115" spans="1:9" x14ac:dyDescent="0.2">
      <c r="A1115" s="420" t="s">
        <v>437</v>
      </c>
      <c r="B1115" s="420" t="s">
        <v>21</v>
      </c>
      <c r="C1115" s="420" t="s">
        <v>38</v>
      </c>
      <c r="D1115" s="423">
        <v>3898.39</v>
      </c>
      <c r="E1115" s="423">
        <v>927.54</v>
      </c>
      <c r="F1115" s="423">
        <v>1529.58</v>
      </c>
      <c r="G1115" s="423">
        <f>SUM(D1115:F1115)</f>
        <v>6355.51</v>
      </c>
      <c r="H1115" s="422">
        <f t="shared" ref="H1115:H1117" si="326">IF(G1105&gt;0,(G1115-G1105)/G1105,0)</f>
        <v>1.4441637054471055</v>
      </c>
      <c r="I1115" s="423">
        <f t="shared" ref="I1115:I1122" si="327">G1115-G1105</f>
        <v>3755.23</v>
      </c>
    </row>
    <row r="1116" spans="1:9" x14ac:dyDescent="0.2">
      <c r="A1116" s="420" t="s">
        <v>437</v>
      </c>
      <c r="B1116" s="420" t="s">
        <v>351</v>
      </c>
      <c r="C1116" s="420" t="s">
        <v>38</v>
      </c>
      <c r="D1116" s="423">
        <v>0</v>
      </c>
      <c r="E1116" s="423">
        <v>0</v>
      </c>
      <c r="F1116" s="423">
        <v>0</v>
      </c>
      <c r="G1116" s="423">
        <f t="shared" ref="G1116:G1121" si="328">SUM(D1116:F1116)</f>
        <v>0</v>
      </c>
      <c r="H1116" s="422">
        <f t="shared" si="326"/>
        <v>0</v>
      </c>
      <c r="I1116" s="423">
        <f t="shared" si="327"/>
        <v>0</v>
      </c>
    </row>
    <row r="1117" spans="1:9" x14ac:dyDescent="0.2">
      <c r="A1117" s="420" t="s">
        <v>437</v>
      </c>
      <c r="B1117" s="420" t="s">
        <v>345</v>
      </c>
      <c r="C1117" s="420" t="s">
        <v>38</v>
      </c>
      <c r="D1117" s="423">
        <v>15784.79</v>
      </c>
      <c r="E1117" s="423">
        <v>7964.7</v>
      </c>
      <c r="F1117" s="423">
        <v>234540.29</v>
      </c>
      <c r="G1117" s="423">
        <f t="shared" si="328"/>
        <v>258289.78</v>
      </c>
      <c r="H1117" s="422">
        <f t="shared" si="326"/>
        <v>2.6156708712284142E-2</v>
      </c>
      <c r="I1117" s="423">
        <f t="shared" si="327"/>
        <v>6583.8000000000175</v>
      </c>
    </row>
    <row r="1118" spans="1:9" x14ac:dyDescent="0.2">
      <c r="A1118" s="420" t="s">
        <v>437</v>
      </c>
      <c r="B1118" s="420" t="s">
        <v>348</v>
      </c>
      <c r="C1118" s="420" t="s">
        <v>38</v>
      </c>
      <c r="D1118" s="423">
        <v>51715.12</v>
      </c>
      <c r="E1118" s="423">
        <v>28543.59</v>
      </c>
      <c r="F1118" s="423">
        <v>770359.6</v>
      </c>
      <c r="G1118" s="423">
        <f t="shared" si="328"/>
        <v>850618.30999999994</v>
      </c>
      <c r="H1118" s="422">
        <f>IF(G1108&gt;0,(G1118-G1108)/G1108,0)</f>
        <v>5.7962223386126598E-3</v>
      </c>
      <c r="I1118" s="423">
        <f t="shared" si="327"/>
        <v>4901.9599999999627</v>
      </c>
    </row>
    <row r="1119" spans="1:9" x14ac:dyDescent="0.2">
      <c r="A1119" s="420" t="s">
        <v>437</v>
      </c>
      <c r="B1119" s="420" t="s">
        <v>348</v>
      </c>
      <c r="C1119" s="420" t="s">
        <v>39</v>
      </c>
      <c r="D1119" s="423">
        <v>14363.23</v>
      </c>
      <c r="E1119" s="423">
        <v>19852.939999999999</v>
      </c>
      <c r="F1119" s="423">
        <v>96332.53</v>
      </c>
      <c r="G1119" s="423">
        <f t="shared" si="328"/>
        <v>130548.7</v>
      </c>
      <c r="H1119" s="422">
        <f>IF(G1109&gt;0,(G1119-G1109)/G1109,0)</f>
        <v>-1.6623928990727461E-2</v>
      </c>
      <c r="I1119" s="423">
        <f t="shared" si="327"/>
        <v>-2206.9199999999983</v>
      </c>
    </row>
    <row r="1120" spans="1:9" x14ac:dyDescent="0.2">
      <c r="A1120" s="420" t="s">
        <v>437</v>
      </c>
      <c r="B1120" s="420" t="s">
        <v>350</v>
      </c>
      <c r="C1120" s="420" t="s">
        <v>38</v>
      </c>
      <c r="D1120" s="423">
        <v>3433.32</v>
      </c>
      <c r="E1120" s="423">
        <v>40816.93</v>
      </c>
      <c r="F1120" s="423">
        <v>37403.980000000003</v>
      </c>
      <c r="G1120" s="423">
        <f t="shared" si="328"/>
        <v>81654.23000000001</v>
      </c>
      <c r="H1120" s="422">
        <f>IF(G1110&gt;0,(G1120-G1110)/G1110,0)</f>
        <v>7.0069997235038036E-3</v>
      </c>
      <c r="I1120" s="423">
        <f t="shared" si="327"/>
        <v>568.17000000001281</v>
      </c>
    </row>
    <row r="1121" spans="1:9" x14ac:dyDescent="0.2">
      <c r="A1121" s="420" t="s">
        <v>437</v>
      </c>
      <c r="B1121" s="420" t="s">
        <v>350</v>
      </c>
      <c r="C1121" s="420" t="s">
        <v>39</v>
      </c>
      <c r="D1121" s="421">
        <v>0</v>
      </c>
      <c r="E1121" s="421">
        <v>0</v>
      </c>
      <c r="F1121" s="421">
        <v>0</v>
      </c>
      <c r="G1121" s="423">
        <f t="shared" si="328"/>
        <v>0</v>
      </c>
      <c r="H1121" s="422">
        <f>IF(G1111&gt;0,(G1121-G1111)/G1111,0)</f>
        <v>0</v>
      </c>
      <c r="I1121" s="423">
        <f t="shared" si="327"/>
        <v>0</v>
      </c>
    </row>
    <row r="1122" spans="1:9" x14ac:dyDescent="0.2">
      <c r="G1122" s="423">
        <f>SUM(G1115:G1121)</f>
        <v>1327466.5299999998</v>
      </c>
      <c r="H1122" s="422">
        <f>IF(G1112&gt;0,(G1122-G1112)/G1112,0)</f>
        <v>1.0352850064902637E-2</v>
      </c>
      <c r="I1122" s="423">
        <f t="shared" si="327"/>
        <v>13602.239999999758</v>
      </c>
    </row>
    <row r="1124" spans="1:9" ht="15.75" x14ac:dyDescent="0.25">
      <c r="A1124" s="426">
        <v>45230</v>
      </c>
      <c r="B1124" s="424" t="s">
        <v>343</v>
      </c>
      <c r="C1124" s="424" t="s">
        <v>33</v>
      </c>
      <c r="D1124" s="424" t="s">
        <v>34</v>
      </c>
      <c r="E1124" s="424" t="s">
        <v>35</v>
      </c>
      <c r="F1124" s="424" t="s">
        <v>103</v>
      </c>
      <c r="G1124" s="425" t="s">
        <v>9</v>
      </c>
    </row>
    <row r="1125" spans="1:9" x14ac:dyDescent="0.2">
      <c r="A1125" s="420" t="s">
        <v>437</v>
      </c>
      <c r="B1125" s="420" t="s">
        <v>21</v>
      </c>
      <c r="C1125" s="420" t="s">
        <v>38</v>
      </c>
      <c r="D1125" s="423">
        <v>1348.36</v>
      </c>
      <c r="E1125" s="423">
        <v>2009.42</v>
      </c>
      <c r="F1125" s="423">
        <v>2043.99</v>
      </c>
      <c r="G1125" s="423">
        <f>SUM(D1125:F1125)</f>
        <v>5401.7699999999995</v>
      </c>
      <c r="H1125" s="422">
        <f t="shared" ref="H1125:H1127" si="329">IF(G1115&gt;0,(G1125-G1115)/G1115,0)</f>
        <v>-0.15006506165516231</v>
      </c>
      <c r="I1125" s="423">
        <f t="shared" ref="I1125:I1132" si="330">G1125-G1115</f>
        <v>-953.74000000000069</v>
      </c>
    </row>
    <row r="1126" spans="1:9" x14ac:dyDescent="0.2">
      <c r="A1126" s="420" t="s">
        <v>437</v>
      </c>
      <c r="B1126" s="420" t="s">
        <v>351</v>
      </c>
      <c r="C1126" s="420" t="s">
        <v>38</v>
      </c>
      <c r="D1126" s="423">
        <v>0</v>
      </c>
      <c r="E1126" s="423">
        <v>0</v>
      </c>
      <c r="F1126" s="423">
        <v>0</v>
      </c>
      <c r="G1126" s="423">
        <f t="shared" ref="G1126:G1131" si="331">SUM(D1126:F1126)</f>
        <v>0</v>
      </c>
      <c r="H1126" s="422">
        <f t="shared" si="329"/>
        <v>0</v>
      </c>
      <c r="I1126" s="423">
        <f t="shared" si="330"/>
        <v>0</v>
      </c>
    </row>
    <row r="1127" spans="1:9" x14ac:dyDescent="0.2">
      <c r="A1127" s="420" t="s">
        <v>437</v>
      </c>
      <c r="B1127" s="420" t="s">
        <v>345</v>
      </c>
      <c r="C1127" s="420" t="s">
        <v>38</v>
      </c>
      <c r="D1127" s="423">
        <v>18982.349999999999</v>
      </c>
      <c r="E1127" s="423">
        <v>13695.95</v>
      </c>
      <c r="F1127" s="423">
        <v>236191.35999999999</v>
      </c>
      <c r="G1127" s="423">
        <f t="shared" si="331"/>
        <v>268869.65999999997</v>
      </c>
      <c r="H1127" s="422">
        <f t="shared" si="329"/>
        <v>4.0961280001090151E-2</v>
      </c>
      <c r="I1127" s="423">
        <f t="shared" si="330"/>
        <v>10579.879999999976</v>
      </c>
    </row>
    <row r="1128" spans="1:9" x14ac:dyDescent="0.2">
      <c r="A1128" s="420" t="s">
        <v>437</v>
      </c>
      <c r="B1128" s="420" t="s">
        <v>348</v>
      </c>
      <c r="C1128" s="420" t="s">
        <v>38</v>
      </c>
      <c r="D1128" s="423">
        <v>38057.54</v>
      </c>
      <c r="E1128" s="423">
        <v>38168.120000000003</v>
      </c>
      <c r="F1128" s="423">
        <v>777086.57</v>
      </c>
      <c r="G1128" s="423">
        <f t="shared" si="331"/>
        <v>853312.23</v>
      </c>
      <c r="H1128" s="422">
        <f>IF(G1118&gt;0,(G1128-G1118)/G1118,0)</f>
        <v>3.1670138866397575E-3</v>
      </c>
      <c r="I1128" s="423">
        <f t="shared" si="330"/>
        <v>2693.9200000000419</v>
      </c>
    </row>
    <row r="1129" spans="1:9" x14ac:dyDescent="0.2">
      <c r="A1129" s="420" t="s">
        <v>437</v>
      </c>
      <c r="B1129" s="420" t="s">
        <v>348</v>
      </c>
      <c r="C1129" s="420" t="s">
        <v>39</v>
      </c>
      <c r="D1129" s="423">
        <v>13828.29</v>
      </c>
      <c r="E1129" s="423">
        <v>12099.5</v>
      </c>
      <c r="F1129" s="423">
        <v>101083.67</v>
      </c>
      <c r="G1129" s="423">
        <f t="shared" si="331"/>
        <v>127011.45999999999</v>
      </c>
      <c r="H1129" s="422">
        <f>IF(G1119&gt;0,(G1129-G1119)/G1119,0)</f>
        <v>-2.709517597647472E-2</v>
      </c>
      <c r="I1129" s="423">
        <f t="shared" si="330"/>
        <v>-3537.2400000000052</v>
      </c>
    </row>
    <row r="1130" spans="1:9" x14ac:dyDescent="0.2">
      <c r="A1130" s="420" t="s">
        <v>437</v>
      </c>
      <c r="B1130" s="420" t="s">
        <v>350</v>
      </c>
      <c r="C1130" s="420" t="s">
        <v>38</v>
      </c>
      <c r="D1130" s="423">
        <v>616.96</v>
      </c>
      <c r="E1130" s="423">
        <v>3357.14</v>
      </c>
      <c r="F1130" s="423">
        <v>69042.02</v>
      </c>
      <c r="G1130" s="423">
        <f t="shared" si="331"/>
        <v>73016.12000000001</v>
      </c>
      <c r="H1130" s="422">
        <f>IF(G1120&gt;0,(G1130-G1120)/G1120,0)</f>
        <v>-0.1057888856462182</v>
      </c>
      <c r="I1130" s="423">
        <f t="shared" si="330"/>
        <v>-8638.11</v>
      </c>
    </row>
    <row r="1131" spans="1:9" x14ac:dyDescent="0.2">
      <c r="A1131" s="420" t="s">
        <v>437</v>
      </c>
      <c r="B1131" s="420" t="s">
        <v>350</v>
      </c>
      <c r="C1131" s="420" t="s">
        <v>39</v>
      </c>
      <c r="D1131" s="421">
        <v>0</v>
      </c>
      <c r="E1131" s="421">
        <v>0</v>
      </c>
      <c r="F1131" s="421">
        <v>0</v>
      </c>
      <c r="G1131" s="423">
        <f t="shared" si="331"/>
        <v>0</v>
      </c>
      <c r="H1131" s="422">
        <f>IF(G1121&gt;0,(G1131-G1121)/G1121,0)</f>
        <v>0</v>
      </c>
      <c r="I1131" s="423">
        <f t="shared" si="330"/>
        <v>0</v>
      </c>
    </row>
    <row r="1132" spans="1:9" x14ac:dyDescent="0.2">
      <c r="G1132" s="423">
        <f>SUM(G1125:G1131)</f>
        <v>1327611.24</v>
      </c>
      <c r="H1132" s="422">
        <f>IF(G1122&gt;0,(G1132-G1122)/G1122,0)</f>
        <v>1.0901216469856728E-4</v>
      </c>
      <c r="I1132" s="423">
        <f t="shared" si="330"/>
        <v>144.71000000019558</v>
      </c>
    </row>
    <row r="1134" spans="1:9" ht="15.75" x14ac:dyDescent="0.25">
      <c r="A1134" s="426">
        <v>45260</v>
      </c>
      <c r="B1134" s="424" t="s">
        <v>343</v>
      </c>
      <c r="C1134" s="424" t="s">
        <v>33</v>
      </c>
      <c r="D1134" s="424" t="s">
        <v>34</v>
      </c>
      <c r="E1134" s="424" t="s">
        <v>35</v>
      </c>
      <c r="F1134" s="424" t="s">
        <v>103</v>
      </c>
      <c r="G1134" s="425" t="s">
        <v>9</v>
      </c>
    </row>
    <row r="1135" spans="1:9" x14ac:dyDescent="0.2">
      <c r="A1135" s="420" t="s">
        <v>437</v>
      </c>
      <c r="B1135" s="420" t="s">
        <v>21</v>
      </c>
      <c r="C1135" s="420" t="s">
        <v>38</v>
      </c>
      <c r="D1135" s="423">
        <v>532.94000000000005</v>
      </c>
      <c r="E1135" s="423">
        <v>0</v>
      </c>
      <c r="F1135" s="423">
        <v>4053.41</v>
      </c>
      <c r="G1135" s="423">
        <f>SUM(D1135:F1135)</f>
        <v>4586.3500000000004</v>
      </c>
      <c r="H1135" s="422">
        <f t="shared" ref="H1135:H1137" si="332">IF(G1125&gt;0,(G1135-G1125)/G1125,0)</f>
        <v>-0.15095422426352828</v>
      </c>
      <c r="I1135" s="423">
        <f t="shared" ref="I1135:I1142" si="333">G1135-G1125</f>
        <v>-815.41999999999916</v>
      </c>
    </row>
    <row r="1136" spans="1:9" x14ac:dyDescent="0.2">
      <c r="A1136" s="420" t="s">
        <v>437</v>
      </c>
      <c r="B1136" s="420" t="s">
        <v>351</v>
      </c>
      <c r="C1136" s="420" t="s">
        <v>38</v>
      </c>
      <c r="D1136" s="423">
        <v>0</v>
      </c>
      <c r="E1136" s="423">
        <v>0</v>
      </c>
      <c r="F1136" s="423">
        <v>0</v>
      </c>
      <c r="G1136" s="423">
        <f t="shared" ref="G1136:G1141" si="334">SUM(D1136:F1136)</f>
        <v>0</v>
      </c>
      <c r="H1136" s="422">
        <f t="shared" si="332"/>
        <v>0</v>
      </c>
      <c r="I1136" s="423">
        <f t="shared" si="333"/>
        <v>0</v>
      </c>
    </row>
    <row r="1137" spans="1:9" x14ac:dyDescent="0.2">
      <c r="A1137" s="420" t="s">
        <v>437</v>
      </c>
      <c r="B1137" s="420" t="s">
        <v>345</v>
      </c>
      <c r="C1137" s="420" t="s">
        <v>38</v>
      </c>
      <c r="D1137" s="423">
        <v>33185.79</v>
      </c>
      <c r="E1137" s="423">
        <v>14128</v>
      </c>
      <c r="F1137" s="423">
        <v>241820.52</v>
      </c>
      <c r="G1137" s="423">
        <f t="shared" si="334"/>
        <v>289134.31</v>
      </c>
      <c r="H1137" s="422">
        <f t="shared" si="332"/>
        <v>7.5369790700817729E-2</v>
      </c>
      <c r="I1137" s="423">
        <f t="shared" si="333"/>
        <v>20264.650000000023</v>
      </c>
    </row>
    <row r="1138" spans="1:9" x14ac:dyDescent="0.2">
      <c r="A1138" s="420" t="s">
        <v>437</v>
      </c>
      <c r="B1138" s="420" t="s">
        <v>348</v>
      </c>
      <c r="C1138" s="420" t="s">
        <v>38</v>
      </c>
      <c r="D1138" s="423">
        <v>58928.91</v>
      </c>
      <c r="E1138" s="423">
        <v>27699.51</v>
      </c>
      <c r="F1138" s="423">
        <v>788828.78</v>
      </c>
      <c r="G1138" s="423">
        <f t="shared" si="334"/>
        <v>875457.20000000007</v>
      </c>
      <c r="H1138" s="422">
        <f>IF(G1128&gt;0,(G1138-G1128)/G1128,0)</f>
        <v>2.595177851839776E-2</v>
      </c>
      <c r="I1138" s="423">
        <f t="shared" si="333"/>
        <v>22144.970000000088</v>
      </c>
    </row>
    <row r="1139" spans="1:9" x14ac:dyDescent="0.2">
      <c r="A1139" s="420" t="s">
        <v>437</v>
      </c>
      <c r="B1139" s="420" t="s">
        <v>348</v>
      </c>
      <c r="C1139" s="420" t="s">
        <v>39</v>
      </c>
      <c r="D1139" s="423">
        <v>19243.61</v>
      </c>
      <c r="E1139" s="423">
        <v>11214.75</v>
      </c>
      <c r="F1139" s="423">
        <v>98315.9</v>
      </c>
      <c r="G1139" s="423">
        <f t="shared" si="334"/>
        <v>128774.26</v>
      </c>
      <c r="H1139" s="422">
        <f>IF(G1129&gt;0,(G1139-G1129)/G1129,0)</f>
        <v>1.3879062566480246E-2</v>
      </c>
      <c r="I1139" s="423">
        <f t="shared" si="333"/>
        <v>1762.8000000000029</v>
      </c>
    </row>
    <row r="1140" spans="1:9" x14ac:dyDescent="0.2">
      <c r="A1140" s="420" t="s">
        <v>437</v>
      </c>
      <c r="B1140" s="420" t="s">
        <v>350</v>
      </c>
      <c r="C1140" s="420" t="s">
        <v>38</v>
      </c>
      <c r="D1140" s="423">
        <v>19499.78</v>
      </c>
      <c r="E1140" s="423">
        <v>159.18</v>
      </c>
      <c r="F1140" s="423">
        <v>61908.65</v>
      </c>
      <c r="G1140" s="423">
        <f t="shared" si="334"/>
        <v>81567.61</v>
      </c>
      <c r="H1140" s="422">
        <f>IF(G1130&gt;0,(G1140-G1130)/G1130,0)</f>
        <v>0.11711783644488354</v>
      </c>
      <c r="I1140" s="423">
        <f t="shared" si="333"/>
        <v>8551.4899999999907</v>
      </c>
    </row>
    <row r="1141" spans="1:9" x14ac:dyDescent="0.2">
      <c r="A1141" s="420" t="s">
        <v>437</v>
      </c>
      <c r="B1141" s="420" t="s">
        <v>350</v>
      </c>
      <c r="C1141" s="420" t="s">
        <v>39</v>
      </c>
      <c r="D1141" s="421">
        <v>0</v>
      </c>
      <c r="E1141" s="421">
        <v>0</v>
      </c>
      <c r="F1141" s="421">
        <v>0</v>
      </c>
      <c r="G1141" s="423">
        <f t="shared" si="334"/>
        <v>0</v>
      </c>
      <c r="H1141" s="422">
        <f>IF(G1131&gt;0,(G1141-G1131)/G1131,0)</f>
        <v>0</v>
      </c>
      <c r="I1141" s="423">
        <f t="shared" si="333"/>
        <v>0</v>
      </c>
    </row>
    <row r="1142" spans="1:9" x14ac:dyDescent="0.2">
      <c r="G1142" s="423">
        <f>SUM(G1135:G1141)</f>
        <v>1379519.7300000002</v>
      </c>
      <c r="H1142" s="422">
        <f>IF(G1132&gt;0,(G1142-G1132)/G1132,0)</f>
        <v>3.9099164300537427E-2</v>
      </c>
      <c r="I1142" s="423">
        <f t="shared" si="333"/>
        <v>51908.490000000224</v>
      </c>
    </row>
    <row r="1144" spans="1:9" ht="15.75" x14ac:dyDescent="0.25">
      <c r="A1144" s="426">
        <v>45291</v>
      </c>
      <c r="B1144" s="424" t="s">
        <v>343</v>
      </c>
      <c r="C1144" s="424" t="s">
        <v>33</v>
      </c>
      <c r="D1144" s="424" t="s">
        <v>34</v>
      </c>
      <c r="E1144" s="424" t="s">
        <v>35</v>
      </c>
      <c r="F1144" s="424" t="s">
        <v>103</v>
      </c>
      <c r="G1144" s="425" t="s">
        <v>9</v>
      </c>
    </row>
    <row r="1145" spans="1:9" x14ac:dyDescent="0.2">
      <c r="A1145" s="420" t="s">
        <v>437</v>
      </c>
      <c r="B1145" s="420" t="s">
        <v>21</v>
      </c>
      <c r="C1145" s="420" t="s">
        <v>38</v>
      </c>
      <c r="D1145" s="423">
        <v>14120.73</v>
      </c>
      <c r="E1145" s="423">
        <v>56.32</v>
      </c>
      <c r="F1145" s="423">
        <v>4053.41</v>
      </c>
      <c r="G1145" s="423">
        <f>SUM(D1145:F1145)</f>
        <v>18230.46</v>
      </c>
      <c r="H1145" s="422">
        <f t="shared" ref="H1145:H1147" si="335">IF(G1135&gt;0,(G1145-G1135)/G1135,0)</f>
        <v>2.9749386767255004</v>
      </c>
      <c r="I1145" s="423">
        <f t="shared" ref="I1145:I1152" si="336">G1145-G1135</f>
        <v>13644.109999999999</v>
      </c>
    </row>
    <row r="1146" spans="1:9" x14ac:dyDescent="0.2">
      <c r="A1146" s="420" t="s">
        <v>437</v>
      </c>
      <c r="B1146" s="420" t="s">
        <v>351</v>
      </c>
      <c r="C1146" s="420" t="s">
        <v>38</v>
      </c>
      <c r="D1146" s="423">
        <v>0</v>
      </c>
      <c r="E1146" s="423">
        <v>0</v>
      </c>
      <c r="F1146" s="423">
        <v>0</v>
      </c>
      <c r="G1146" s="423">
        <f t="shared" ref="G1146:G1151" si="337">SUM(D1146:F1146)</f>
        <v>0</v>
      </c>
      <c r="H1146" s="422">
        <f t="shared" si="335"/>
        <v>0</v>
      </c>
      <c r="I1146" s="423">
        <f t="shared" si="336"/>
        <v>0</v>
      </c>
    </row>
    <row r="1147" spans="1:9" x14ac:dyDescent="0.2">
      <c r="A1147" s="420" t="s">
        <v>437</v>
      </c>
      <c r="B1147" s="420" t="s">
        <v>345</v>
      </c>
      <c r="C1147" s="420" t="s">
        <v>38</v>
      </c>
      <c r="D1147" s="423">
        <v>8466.32</v>
      </c>
      <c r="E1147" s="423">
        <v>10499.63</v>
      </c>
      <c r="F1147" s="423">
        <v>239540.17</v>
      </c>
      <c r="G1147" s="423">
        <f t="shared" si="337"/>
        <v>258506.12</v>
      </c>
      <c r="H1147" s="422">
        <f t="shared" si="335"/>
        <v>-0.10593066592477386</v>
      </c>
      <c r="I1147" s="423">
        <f t="shared" si="336"/>
        <v>-30628.190000000002</v>
      </c>
    </row>
    <row r="1148" spans="1:9" x14ac:dyDescent="0.2">
      <c r="A1148" s="420" t="s">
        <v>437</v>
      </c>
      <c r="B1148" s="420" t="s">
        <v>348</v>
      </c>
      <c r="C1148" s="420" t="s">
        <v>38</v>
      </c>
      <c r="D1148" s="423">
        <v>42110.400000000001</v>
      </c>
      <c r="E1148" s="423">
        <v>41992.68</v>
      </c>
      <c r="F1148" s="423">
        <v>795381.29</v>
      </c>
      <c r="G1148" s="423">
        <f t="shared" si="337"/>
        <v>879484.37</v>
      </c>
      <c r="H1148" s="422">
        <f>IF(G1138&gt;0,(G1148-G1138)/G1138,0)</f>
        <v>4.6000763943684795E-3</v>
      </c>
      <c r="I1148" s="423">
        <f t="shared" si="336"/>
        <v>4027.1699999999255</v>
      </c>
    </row>
    <row r="1149" spans="1:9" x14ac:dyDescent="0.2">
      <c r="A1149" s="420" t="s">
        <v>437</v>
      </c>
      <c r="B1149" s="420" t="s">
        <v>348</v>
      </c>
      <c r="C1149" s="420" t="s">
        <v>39</v>
      </c>
      <c r="D1149" s="423">
        <v>12050.61</v>
      </c>
      <c r="E1149" s="423">
        <v>16240.19</v>
      </c>
      <c r="F1149" s="423">
        <v>96784.6</v>
      </c>
      <c r="G1149" s="423">
        <f t="shared" si="337"/>
        <v>125075.40000000001</v>
      </c>
      <c r="H1149" s="422">
        <f>IF(G1139&gt;0,(G1149-G1139)/G1139,0)</f>
        <v>-2.8723597402151534E-2</v>
      </c>
      <c r="I1149" s="423">
        <f t="shared" si="336"/>
        <v>-3698.859999999986</v>
      </c>
    </row>
    <row r="1150" spans="1:9" x14ac:dyDescent="0.2">
      <c r="A1150" s="420" t="s">
        <v>437</v>
      </c>
      <c r="B1150" s="420" t="s">
        <v>350</v>
      </c>
      <c r="C1150" s="420" t="s">
        <v>38</v>
      </c>
      <c r="D1150" s="423">
        <v>1594.55</v>
      </c>
      <c r="E1150" s="423">
        <v>5467.54</v>
      </c>
      <c r="F1150" s="423">
        <v>60927.839999999997</v>
      </c>
      <c r="G1150" s="423">
        <f t="shared" si="337"/>
        <v>67989.929999999993</v>
      </c>
      <c r="H1150" s="422">
        <f>IF(G1140&gt;0,(G1150-G1140)/G1140,0)</f>
        <v>-0.16645921095395597</v>
      </c>
      <c r="I1150" s="423">
        <f t="shared" si="336"/>
        <v>-13577.680000000008</v>
      </c>
    </row>
    <row r="1151" spans="1:9" x14ac:dyDescent="0.2">
      <c r="A1151" s="420" t="s">
        <v>437</v>
      </c>
      <c r="B1151" s="420" t="s">
        <v>350</v>
      </c>
      <c r="C1151" s="420" t="s">
        <v>39</v>
      </c>
      <c r="D1151" s="421">
        <v>0</v>
      </c>
      <c r="E1151" s="421">
        <v>0</v>
      </c>
      <c r="F1151" s="421">
        <v>0</v>
      </c>
      <c r="G1151" s="423">
        <f t="shared" si="337"/>
        <v>0</v>
      </c>
      <c r="H1151" s="422">
        <f>IF(G1141&gt;0,(G1151-G1141)/G1141,0)</f>
        <v>0</v>
      </c>
      <c r="I1151" s="423">
        <f t="shared" si="336"/>
        <v>0</v>
      </c>
    </row>
    <row r="1152" spans="1:9" x14ac:dyDescent="0.2">
      <c r="G1152" s="423">
        <f>SUM(G1145:G1151)</f>
        <v>1349286.2799999998</v>
      </c>
      <c r="H1152" s="422">
        <f>IF(G1142&gt;0,(G1152-G1142)/G1142,0)</f>
        <v>-2.1915924319545914E-2</v>
      </c>
      <c r="I1152" s="423">
        <f t="shared" si="336"/>
        <v>-30233.450000000419</v>
      </c>
    </row>
    <row r="1154" spans="1:9" ht="15.75" x14ac:dyDescent="0.25">
      <c r="A1154" s="426">
        <v>45322</v>
      </c>
      <c r="B1154" s="424" t="s">
        <v>343</v>
      </c>
      <c r="C1154" s="424" t="s">
        <v>33</v>
      </c>
      <c r="D1154" s="424" t="s">
        <v>34</v>
      </c>
      <c r="E1154" s="424" t="s">
        <v>35</v>
      </c>
      <c r="F1154" s="424" t="s">
        <v>103</v>
      </c>
      <c r="G1154" s="425" t="s">
        <v>9</v>
      </c>
    </row>
    <row r="1155" spans="1:9" x14ac:dyDescent="0.2">
      <c r="A1155" s="420" t="s">
        <v>437</v>
      </c>
      <c r="B1155" s="420" t="s">
        <v>21</v>
      </c>
      <c r="C1155" s="420" t="s">
        <v>38</v>
      </c>
      <c r="D1155" s="423">
        <v>578.72</v>
      </c>
      <c r="E1155" s="423">
        <v>296.12</v>
      </c>
      <c r="F1155" s="423">
        <v>4109.7299999999996</v>
      </c>
      <c r="G1155" s="423">
        <f>SUM(D1155:F1155)</f>
        <v>4984.57</v>
      </c>
      <c r="H1155" s="422">
        <f t="shared" ref="H1155:H1157" si="338">IF(G1145&gt;0,(G1155-G1145)/G1145,0)</f>
        <v>-0.72658013017773548</v>
      </c>
      <c r="I1155" s="423">
        <f t="shared" ref="I1155:I1162" si="339">G1155-G1145</f>
        <v>-13245.89</v>
      </c>
    </row>
    <row r="1156" spans="1:9" x14ac:dyDescent="0.2">
      <c r="A1156" s="420" t="s">
        <v>437</v>
      </c>
      <c r="B1156" s="420" t="s">
        <v>351</v>
      </c>
      <c r="C1156" s="420" t="s">
        <v>38</v>
      </c>
      <c r="D1156" s="423">
        <v>0</v>
      </c>
      <c r="E1156" s="423">
        <v>0</v>
      </c>
      <c r="F1156" s="423">
        <v>0</v>
      </c>
      <c r="G1156" s="423">
        <f t="shared" ref="G1156:G1161" si="340">SUM(D1156:F1156)</f>
        <v>0</v>
      </c>
      <c r="H1156" s="422">
        <f t="shared" si="338"/>
        <v>0</v>
      </c>
      <c r="I1156" s="423">
        <f t="shared" si="339"/>
        <v>0</v>
      </c>
    </row>
    <row r="1157" spans="1:9" x14ac:dyDescent="0.2">
      <c r="A1157" s="420" t="s">
        <v>437</v>
      </c>
      <c r="B1157" s="420" t="s">
        <v>345</v>
      </c>
      <c r="C1157" s="420" t="s">
        <v>38</v>
      </c>
      <c r="D1157" s="423">
        <v>17895.37</v>
      </c>
      <c r="E1157" s="423">
        <v>6896.56</v>
      </c>
      <c r="F1157" s="423">
        <v>244004.69</v>
      </c>
      <c r="G1157" s="423">
        <f t="shared" si="340"/>
        <v>268796.62</v>
      </c>
      <c r="H1157" s="422">
        <f t="shared" si="338"/>
        <v>3.980756819219599E-2</v>
      </c>
      <c r="I1157" s="423">
        <f t="shared" si="339"/>
        <v>10290.5</v>
      </c>
    </row>
    <row r="1158" spans="1:9" x14ac:dyDescent="0.2">
      <c r="A1158" s="420" t="s">
        <v>437</v>
      </c>
      <c r="B1158" s="420" t="s">
        <v>348</v>
      </c>
      <c r="C1158" s="420" t="s">
        <v>38</v>
      </c>
      <c r="D1158" s="423">
        <v>53193.31</v>
      </c>
      <c r="E1158" s="423">
        <v>33955.53</v>
      </c>
      <c r="F1158" s="423">
        <v>797245.75</v>
      </c>
      <c r="G1158" s="423">
        <f t="shared" si="340"/>
        <v>884394.59</v>
      </c>
      <c r="H1158" s="422">
        <f>IF(G1148&gt;0,(G1158-G1148)/G1148,0)</f>
        <v>5.5830668144790018E-3</v>
      </c>
      <c r="I1158" s="423">
        <f t="shared" si="339"/>
        <v>4910.2199999999721</v>
      </c>
    </row>
    <row r="1159" spans="1:9" x14ac:dyDescent="0.2">
      <c r="A1159" s="420" t="s">
        <v>437</v>
      </c>
      <c r="B1159" s="420" t="s">
        <v>348</v>
      </c>
      <c r="C1159" s="420" t="s">
        <v>39</v>
      </c>
      <c r="D1159" s="423">
        <v>15918.89</v>
      </c>
      <c r="E1159" s="423">
        <v>10193.09</v>
      </c>
      <c r="F1159" s="423">
        <v>98280.78</v>
      </c>
      <c r="G1159" s="423">
        <f t="shared" si="340"/>
        <v>124392.76</v>
      </c>
      <c r="H1159" s="422">
        <f>IF(G1149&gt;0,(G1159-G1149)/G1149,0)</f>
        <v>-5.4578278382480805E-3</v>
      </c>
      <c r="I1159" s="423">
        <f t="shared" si="339"/>
        <v>-682.64000000001397</v>
      </c>
    </row>
    <row r="1160" spans="1:9" x14ac:dyDescent="0.2">
      <c r="A1160" s="420" t="s">
        <v>437</v>
      </c>
      <c r="B1160" s="420" t="s">
        <v>350</v>
      </c>
      <c r="C1160" s="420" t="s">
        <v>38</v>
      </c>
      <c r="D1160" s="423">
        <v>423.34</v>
      </c>
      <c r="E1160" s="423">
        <v>1574.71</v>
      </c>
      <c r="F1160" s="423">
        <v>52286.44</v>
      </c>
      <c r="G1160" s="423">
        <f t="shared" si="340"/>
        <v>54284.490000000005</v>
      </c>
      <c r="H1160" s="422">
        <f>IF(G1150&gt;0,(G1160-G1150)/G1150,0)</f>
        <v>-0.20158043992691255</v>
      </c>
      <c r="I1160" s="423">
        <f t="shared" si="339"/>
        <v>-13705.439999999988</v>
      </c>
    </row>
    <row r="1161" spans="1:9" x14ac:dyDescent="0.2">
      <c r="A1161" s="420" t="s">
        <v>437</v>
      </c>
      <c r="B1161" s="420" t="s">
        <v>350</v>
      </c>
      <c r="C1161" s="420" t="s">
        <v>39</v>
      </c>
      <c r="D1161" s="421">
        <v>0</v>
      </c>
      <c r="E1161" s="421">
        <v>0</v>
      </c>
      <c r="F1161" s="421">
        <v>0</v>
      </c>
      <c r="G1161" s="423">
        <f t="shared" si="340"/>
        <v>0</v>
      </c>
      <c r="H1161" s="422">
        <f>IF(G1151&gt;0,(G1161-G1151)/G1151,0)</f>
        <v>0</v>
      </c>
      <c r="I1161" s="423">
        <f t="shared" si="339"/>
        <v>0</v>
      </c>
    </row>
    <row r="1162" spans="1:9" x14ac:dyDescent="0.2">
      <c r="G1162" s="423">
        <f>SUM(G1155:G1161)</f>
        <v>1336853.03</v>
      </c>
      <c r="H1162" s="422">
        <f>IF(G1152&gt;0,(G1162-G1152)/G1152,0)</f>
        <v>-9.2146864488978335E-3</v>
      </c>
      <c r="I1162" s="423">
        <f t="shared" si="339"/>
        <v>-12433.249999999767</v>
      </c>
    </row>
    <row r="1164" spans="1:9" ht="15.75" x14ac:dyDescent="0.25">
      <c r="A1164" s="426">
        <v>45351</v>
      </c>
      <c r="B1164" s="424" t="s">
        <v>343</v>
      </c>
      <c r="C1164" s="424" t="s">
        <v>33</v>
      </c>
      <c r="D1164" s="424" t="s">
        <v>34</v>
      </c>
      <c r="E1164" s="424" t="s">
        <v>35</v>
      </c>
      <c r="F1164" s="424" t="s">
        <v>103</v>
      </c>
      <c r="G1164" s="425" t="s">
        <v>9</v>
      </c>
    </row>
    <row r="1165" spans="1:9" x14ac:dyDescent="0.2">
      <c r="A1165" s="420" t="s">
        <v>437</v>
      </c>
      <c r="B1165" s="420" t="s">
        <v>21</v>
      </c>
      <c r="C1165" s="420" t="s">
        <v>38</v>
      </c>
      <c r="D1165" s="423">
        <v>33050.29</v>
      </c>
      <c r="E1165" s="423">
        <v>566.44000000000005</v>
      </c>
      <c r="F1165" s="423">
        <v>4384.5600000000004</v>
      </c>
      <c r="G1165" s="423">
        <f>SUM(D1165:F1165)</f>
        <v>38001.29</v>
      </c>
      <c r="H1165" s="422">
        <f t="shared" ref="H1165:H1167" si="341">IF(G1155&gt;0,(G1165-G1155)/G1155,0)</f>
        <v>6.623785000511579</v>
      </c>
      <c r="I1165" s="423">
        <f t="shared" ref="I1165:I1172" si="342">G1165-G1155</f>
        <v>33016.720000000001</v>
      </c>
    </row>
    <row r="1166" spans="1:9" x14ac:dyDescent="0.2">
      <c r="A1166" s="420" t="s">
        <v>437</v>
      </c>
      <c r="B1166" s="420" t="s">
        <v>351</v>
      </c>
      <c r="C1166" s="420" t="s">
        <v>38</v>
      </c>
      <c r="D1166" s="423">
        <v>0</v>
      </c>
      <c r="E1166" s="423">
        <v>0</v>
      </c>
      <c r="F1166" s="423">
        <v>0</v>
      </c>
      <c r="G1166" s="423">
        <f t="shared" ref="G1166:G1171" si="343">SUM(D1166:F1166)</f>
        <v>0</v>
      </c>
      <c r="H1166" s="422">
        <f t="shared" si="341"/>
        <v>0</v>
      </c>
      <c r="I1166" s="423">
        <f t="shared" si="342"/>
        <v>0</v>
      </c>
    </row>
    <row r="1167" spans="1:9" x14ac:dyDescent="0.2">
      <c r="A1167" s="420" t="s">
        <v>437</v>
      </c>
      <c r="B1167" s="420" t="s">
        <v>345</v>
      </c>
      <c r="C1167" s="420" t="s">
        <v>38</v>
      </c>
      <c r="D1167" s="423">
        <v>10037.01</v>
      </c>
      <c r="E1167" s="423">
        <v>10341.530000000001</v>
      </c>
      <c r="F1167" s="423">
        <v>243957.66</v>
      </c>
      <c r="G1167" s="423">
        <f t="shared" si="343"/>
        <v>264336.2</v>
      </c>
      <c r="H1167" s="422">
        <f t="shared" si="341"/>
        <v>-1.6594033064850234E-2</v>
      </c>
      <c r="I1167" s="423">
        <f t="shared" si="342"/>
        <v>-4460.4199999999837</v>
      </c>
    </row>
    <row r="1168" spans="1:9" x14ac:dyDescent="0.2">
      <c r="A1168" s="420" t="s">
        <v>437</v>
      </c>
      <c r="B1168" s="420" t="s">
        <v>348</v>
      </c>
      <c r="C1168" s="420" t="s">
        <v>38</v>
      </c>
      <c r="D1168" s="423">
        <v>56968.73</v>
      </c>
      <c r="E1168" s="423">
        <v>33631.42</v>
      </c>
      <c r="F1168" s="423">
        <v>805185.01</v>
      </c>
      <c r="G1168" s="423">
        <f t="shared" si="343"/>
        <v>895785.16</v>
      </c>
      <c r="H1168" s="422">
        <f>IF(G1158&gt;0,(G1168-G1158)/G1158,0)</f>
        <v>1.2879511169330045E-2</v>
      </c>
      <c r="I1168" s="423">
        <f t="shared" si="342"/>
        <v>11390.570000000065</v>
      </c>
    </row>
    <row r="1169" spans="1:9" x14ac:dyDescent="0.2">
      <c r="A1169" s="420" t="s">
        <v>437</v>
      </c>
      <c r="B1169" s="420" t="s">
        <v>348</v>
      </c>
      <c r="C1169" s="420" t="s">
        <v>39</v>
      </c>
      <c r="D1169" s="423">
        <v>21940.84</v>
      </c>
      <c r="E1169" s="423">
        <v>12488.17</v>
      </c>
      <c r="F1169" s="423">
        <v>97987.63</v>
      </c>
      <c r="G1169" s="423">
        <f t="shared" si="343"/>
        <v>132416.64000000001</v>
      </c>
      <c r="H1169" s="422">
        <f>IF(G1159&gt;0,(G1169-G1159)/G1159,0)</f>
        <v>6.4504397201252062E-2</v>
      </c>
      <c r="I1169" s="423">
        <f t="shared" si="342"/>
        <v>8023.8800000000192</v>
      </c>
    </row>
    <row r="1170" spans="1:9" x14ac:dyDescent="0.2">
      <c r="A1170" s="420" t="s">
        <v>437</v>
      </c>
      <c r="B1170" s="420" t="s">
        <v>350</v>
      </c>
      <c r="C1170" s="420" t="s">
        <v>38</v>
      </c>
      <c r="D1170" s="423">
        <v>7045.8</v>
      </c>
      <c r="E1170" s="423">
        <v>405.47</v>
      </c>
      <c r="F1170" s="423">
        <v>52022.16</v>
      </c>
      <c r="G1170" s="423">
        <f t="shared" si="343"/>
        <v>59473.430000000008</v>
      </c>
      <c r="H1170" s="422">
        <f>IF(G1160&gt;0,(G1170-G1160)/G1160,0)</f>
        <v>9.5587892600630525E-2</v>
      </c>
      <c r="I1170" s="423">
        <f t="shared" si="342"/>
        <v>5188.9400000000023</v>
      </c>
    </row>
    <row r="1171" spans="1:9" x14ac:dyDescent="0.2">
      <c r="A1171" s="420" t="s">
        <v>437</v>
      </c>
      <c r="B1171" s="420" t="s">
        <v>350</v>
      </c>
      <c r="C1171" s="420" t="s">
        <v>39</v>
      </c>
      <c r="D1171" s="421">
        <v>0</v>
      </c>
      <c r="E1171" s="421">
        <v>0</v>
      </c>
      <c r="F1171" s="421">
        <v>0</v>
      </c>
      <c r="G1171" s="423">
        <f t="shared" si="343"/>
        <v>0</v>
      </c>
      <c r="H1171" s="422">
        <f>IF(G1161&gt;0,(G1171-G1161)/G1161,0)</f>
        <v>0</v>
      </c>
      <c r="I1171" s="423">
        <f t="shared" si="342"/>
        <v>0</v>
      </c>
    </row>
    <row r="1172" spans="1:9" x14ac:dyDescent="0.2">
      <c r="G1172" s="423">
        <f>SUM(G1165:G1171)</f>
        <v>1390012.72</v>
      </c>
      <c r="H1172" s="422">
        <f>IF(G1162&gt;0,(G1172-G1162)/G1162,0)</f>
        <v>3.9764797481141173E-2</v>
      </c>
      <c r="I1172" s="423">
        <f t="shared" si="342"/>
        <v>53159.689999999944</v>
      </c>
    </row>
    <row r="1174" spans="1:9" ht="15.75" x14ac:dyDescent="0.25">
      <c r="A1174" s="426">
        <v>45382</v>
      </c>
      <c r="B1174" s="424" t="s">
        <v>343</v>
      </c>
      <c r="C1174" s="424" t="s">
        <v>33</v>
      </c>
      <c r="D1174" s="424" t="s">
        <v>34</v>
      </c>
      <c r="E1174" s="424" t="s">
        <v>35</v>
      </c>
      <c r="F1174" s="424" t="s">
        <v>103</v>
      </c>
      <c r="G1174" s="425" t="s">
        <v>9</v>
      </c>
    </row>
    <row r="1175" spans="1:9" x14ac:dyDescent="0.2">
      <c r="A1175" s="420" t="s">
        <v>437</v>
      </c>
      <c r="B1175" s="420" t="s">
        <v>21</v>
      </c>
      <c r="C1175" s="420" t="s">
        <v>38</v>
      </c>
      <c r="D1175" s="423">
        <v>1832.92</v>
      </c>
      <c r="E1175" s="423">
        <v>32340.95</v>
      </c>
      <c r="F1175" s="423">
        <v>4498.8500000000004</v>
      </c>
      <c r="G1175" s="423">
        <f>SUM(D1175:F1175)</f>
        <v>38672.720000000001</v>
      </c>
      <c r="H1175" s="422">
        <f t="shared" ref="H1175:H1177" si="344">IF(G1165&gt;0,(G1175-G1165)/G1165,0)</f>
        <v>1.7668610723478077E-2</v>
      </c>
      <c r="I1175" s="423">
        <f t="shared" ref="I1175:I1182" si="345">G1175-G1165</f>
        <v>671.43000000000029</v>
      </c>
    </row>
    <row r="1176" spans="1:9" x14ac:dyDescent="0.2">
      <c r="A1176" s="420" t="s">
        <v>437</v>
      </c>
      <c r="B1176" s="420" t="s">
        <v>351</v>
      </c>
      <c r="C1176" s="420" t="s">
        <v>38</v>
      </c>
      <c r="D1176" s="423">
        <v>0</v>
      </c>
      <c r="E1176" s="423">
        <v>0</v>
      </c>
      <c r="F1176" s="423">
        <v>0</v>
      </c>
      <c r="G1176" s="423">
        <f t="shared" ref="G1176:G1181" si="346">SUM(D1176:F1176)</f>
        <v>0</v>
      </c>
      <c r="H1176" s="422">
        <f t="shared" si="344"/>
        <v>0</v>
      </c>
      <c r="I1176" s="423">
        <f t="shared" si="345"/>
        <v>0</v>
      </c>
    </row>
    <row r="1177" spans="1:9" x14ac:dyDescent="0.2">
      <c r="A1177" s="420" t="s">
        <v>437</v>
      </c>
      <c r="B1177" s="420" t="s">
        <v>345</v>
      </c>
      <c r="C1177" s="420" t="s">
        <v>38</v>
      </c>
      <c r="D1177" s="423">
        <v>18174.169999999998</v>
      </c>
      <c r="E1177" s="423">
        <v>8086.37</v>
      </c>
      <c r="F1177" s="423">
        <v>250833.9</v>
      </c>
      <c r="G1177" s="423">
        <f t="shared" si="346"/>
        <v>277094.44</v>
      </c>
      <c r="H1177" s="422">
        <f t="shared" si="344"/>
        <v>4.8265201663638922E-2</v>
      </c>
      <c r="I1177" s="423">
        <f t="shared" si="345"/>
        <v>12758.239999999991</v>
      </c>
    </row>
    <row r="1178" spans="1:9" x14ac:dyDescent="0.2">
      <c r="A1178" s="420" t="s">
        <v>437</v>
      </c>
      <c r="B1178" s="420" t="s">
        <v>348</v>
      </c>
      <c r="C1178" s="420" t="s">
        <v>38</v>
      </c>
      <c r="D1178" s="423">
        <v>53533.22</v>
      </c>
      <c r="E1178" s="423">
        <v>40398.370000000003</v>
      </c>
      <c r="F1178" s="423">
        <v>802180.49</v>
      </c>
      <c r="G1178" s="423">
        <f t="shared" si="346"/>
        <v>896112.08</v>
      </c>
      <c r="H1178" s="422">
        <f>IF(G1168&gt;0,(G1178-G1168)/G1168,0)</f>
        <v>3.6495357882455372E-4</v>
      </c>
      <c r="I1178" s="423">
        <f t="shared" si="345"/>
        <v>326.91999999992549</v>
      </c>
    </row>
    <row r="1179" spans="1:9" x14ac:dyDescent="0.2">
      <c r="A1179" s="420" t="s">
        <v>437</v>
      </c>
      <c r="B1179" s="420" t="s">
        <v>348</v>
      </c>
      <c r="C1179" s="420" t="s">
        <v>39</v>
      </c>
      <c r="D1179" s="423">
        <v>18230.8</v>
      </c>
      <c r="E1179" s="423">
        <v>18468.689999999999</v>
      </c>
      <c r="F1179" s="423">
        <v>98225.68</v>
      </c>
      <c r="G1179" s="423">
        <f t="shared" si="346"/>
        <v>134925.16999999998</v>
      </c>
      <c r="H1179" s="422">
        <f>IF(G1169&gt;0,(G1179-G1169)/G1169,0)</f>
        <v>1.8944220303429911E-2</v>
      </c>
      <c r="I1179" s="423">
        <f t="shared" si="345"/>
        <v>2508.5299999999697</v>
      </c>
    </row>
    <row r="1180" spans="1:9" x14ac:dyDescent="0.2">
      <c r="A1180" s="420" t="s">
        <v>437</v>
      </c>
      <c r="B1180" s="420" t="s">
        <v>350</v>
      </c>
      <c r="C1180" s="420" t="s">
        <v>38</v>
      </c>
      <c r="D1180" s="423">
        <v>26574.2</v>
      </c>
      <c r="E1180" s="423">
        <v>5687.25</v>
      </c>
      <c r="F1180" s="423">
        <v>45516.43</v>
      </c>
      <c r="G1180" s="423">
        <f t="shared" si="346"/>
        <v>77777.88</v>
      </c>
      <c r="H1180" s="422">
        <f>IF(G1170&gt;0,(G1180-G1170)/G1170,0)</f>
        <v>0.30777525358803076</v>
      </c>
      <c r="I1180" s="423">
        <f t="shared" si="345"/>
        <v>18304.449999999997</v>
      </c>
    </row>
    <row r="1181" spans="1:9" x14ac:dyDescent="0.2">
      <c r="A1181" s="420" t="s">
        <v>437</v>
      </c>
      <c r="B1181" s="420" t="s">
        <v>350</v>
      </c>
      <c r="C1181" s="420" t="s">
        <v>39</v>
      </c>
      <c r="D1181" s="421">
        <v>0</v>
      </c>
      <c r="E1181" s="421">
        <v>0</v>
      </c>
      <c r="F1181" s="421">
        <v>0</v>
      </c>
      <c r="G1181" s="423">
        <f t="shared" si="346"/>
        <v>0</v>
      </c>
      <c r="H1181" s="422">
        <f>IF(G1171&gt;0,(G1181-G1171)/G1171,0)</f>
        <v>0</v>
      </c>
      <c r="I1181" s="423">
        <f t="shared" si="345"/>
        <v>0</v>
      </c>
    </row>
    <row r="1182" spans="1:9" x14ac:dyDescent="0.2">
      <c r="G1182" s="423">
        <f>SUM(G1175:G1181)</f>
        <v>1424582.29</v>
      </c>
      <c r="H1182" s="422">
        <f>IF(G1172&gt;0,(G1182-G1172)/G1172,0)</f>
        <v>2.4869966657571355E-2</v>
      </c>
      <c r="I1182" s="423">
        <f t="shared" si="345"/>
        <v>34569.570000000065</v>
      </c>
    </row>
    <row r="1184" spans="1:9" ht="15.75" x14ac:dyDescent="0.25">
      <c r="A1184" s="426">
        <v>45412</v>
      </c>
      <c r="B1184" s="424" t="s">
        <v>343</v>
      </c>
      <c r="C1184" s="424" t="s">
        <v>33</v>
      </c>
      <c r="D1184" s="424" t="s">
        <v>34</v>
      </c>
      <c r="E1184" s="424" t="s">
        <v>35</v>
      </c>
      <c r="F1184" s="424" t="s">
        <v>103</v>
      </c>
      <c r="G1184" s="425" t="s">
        <v>9</v>
      </c>
    </row>
    <row r="1185" spans="1:9" x14ac:dyDescent="0.2">
      <c r="A1185" s="420" t="s">
        <v>437</v>
      </c>
      <c r="B1185" s="420" t="s">
        <v>21</v>
      </c>
      <c r="C1185" s="420" t="s">
        <v>38</v>
      </c>
      <c r="D1185" s="423">
        <v>25297.52</v>
      </c>
      <c r="E1185" s="423">
        <v>1739.3</v>
      </c>
      <c r="F1185" s="423">
        <v>36789.68</v>
      </c>
      <c r="G1185" s="423">
        <f>SUM(D1185:F1185)</f>
        <v>63826.5</v>
      </c>
      <c r="H1185" s="422">
        <f t="shared" ref="H1185:H1187" si="347">IF(G1175&gt;0,(G1185-G1175)/G1175,0)</f>
        <v>0.65042696764023833</v>
      </c>
      <c r="I1185" s="423">
        <f t="shared" ref="I1185:I1192" si="348">G1185-G1175</f>
        <v>25153.78</v>
      </c>
    </row>
    <row r="1186" spans="1:9" x14ac:dyDescent="0.2">
      <c r="A1186" s="420" t="s">
        <v>437</v>
      </c>
      <c r="B1186" s="420" t="s">
        <v>351</v>
      </c>
      <c r="C1186" s="420" t="s">
        <v>38</v>
      </c>
      <c r="D1186" s="423">
        <v>0</v>
      </c>
      <c r="E1186" s="423">
        <v>0</v>
      </c>
      <c r="F1186" s="423">
        <v>0</v>
      </c>
      <c r="G1186" s="423">
        <f t="shared" ref="G1186:G1191" si="349">SUM(D1186:F1186)</f>
        <v>0</v>
      </c>
      <c r="H1186" s="422">
        <f t="shared" si="347"/>
        <v>0</v>
      </c>
      <c r="I1186" s="423">
        <f t="shared" si="348"/>
        <v>0</v>
      </c>
    </row>
    <row r="1187" spans="1:9" x14ac:dyDescent="0.2">
      <c r="A1187" s="420" t="s">
        <v>437</v>
      </c>
      <c r="B1187" s="420" t="s">
        <v>345</v>
      </c>
      <c r="C1187" s="420" t="s">
        <v>38</v>
      </c>
      <c r="D1187" s="423">
        <v>7851.42</v>
      </c>
      <c r="E1187" s="423">
        <v>16500.740000000002</v>
      </c>
      <c r="F1187" s="423">
        <v>249838.41</v>
      </c>
      <c r="G1187" s="423">
        <f t="shared" si="349"/>
        <v>274190.57</v>
      </c>
      <c r="H1187" s="422">
        <f t="shared" si="347"/>
        <v>-1.0479712259834573E-2</v>
      </c>
      <c r="I1187" s="423">
        <f t="shared" si="348"/>
        <v>-2903.8699999999953</v>
      </c>
    </row>
    <row r="1188" spans="1:9" x14ac:dyDescent="0.2">
      <c r="A1188" s="420" t="s">
        <v>437</v>
      </c>
      <c r="B1188" s="420" t="s">
        <v>348</v>
      </c>
      <c r="C1188" s="420" t="s">
        <v>38</v>
      </c>
      <c r="D1188" s="423">
        <v>26312.639999999999</v>
      </c>
      <c r="E1188" s="423">
        <v>40841.74</v>
      </c>
      <c r="F1188" s="423">
        <v>813593.15</v>
      </c>
      <c r="G1188" s="423">
        <f t="shared" si="349"/>
        <v>880747.53</v>
      </c>
      <c r="H1188" s="422">
        <f>IF(G1178&gt;0,(G1188-G1178)/G1178,0)</f>
        <v>-1.7145790513168765E-2</v>
      </c>
      <c r="I1188" s="423">
        <f t="shared" si="348"/>
        <v>-15364.54999999993</v>
      </c>
    </row>
    <row r="1189" spans="1:9" x14ac:dyDescent="0.2">
      <c r="A1189" s="420" t="s">
        <v>437</v>
      </c>
      <c r="B1189" s="420" t="s">
        <v>348</v>
      </c>
      <c r="C1189" s="420" t="s">
        <v>39</v>
      </c>
      <c r="D1189" s="423">
        <v>9707.7099999999991</v>
      </c>
      <c r="E1189" s="423">
        <v>14118.72</v>
      </c>
      <c r="F1189" s="423">
        <v>102810.05</v>
      </c>
      <c r="G1189" s="423">
        <f t="shared" si="349"/>
        <v>126636.48000000001</v>
      </c>
      <c r="H1189" s="422">
        <f>IF(G1179&gt;0,(G1189-G1179)/G1179,0)</f>
        <v>-6.1431755098029332E-2</v>
      </c>
      <c r="I1189" s="423">
        <f t="shared" si="348"/>
        <v>-8288.6899999999732</v>
      </c>
    </row>
    <row r="1190" spans="1:9" x14ac:dyDescent="0.2">
      <c r="A1190" s="420" t="s">
        <v>437</v>
      </c>
      <c r="B1190" s="420" t="s">
        <v>350</v>
      </c>
      <c r="C1190" s="420" t="s">
        <v>38</v>
      </c>
      <c r="D1190" s="423">
        <v>8474.91</v>
      </c>
      <c r="E1190" s="423">
        <v>26045.13</v>
      </c>
      <c r="F1190" s="423">
        <v>44896.78</v>
      </c>
      <c r="G1190" s="423">
        <f t="shared" si="349"/>
        <v>79416.820000000007</v>
      </c>
      <c r="H1190" s="422">
        <f>IF(G1180&gt;0,(G1190-G1180)/G1180,0)</f>
        <v>2.1072058019580918E-2</v>
      </c>
      <c r="I1190" s="423">
        <f t="shared" si="348"/>
        <v>1638.9400000000023</v>
      </c>
    </row>
    <row r="1191" spans="1:9" x14ac:dyDescent="0.2">
      <c r="A1191" s="420" t="s">
        <v>437</v>
      </c>
      <c r="B1191" s="420" t="s">
        <v>350</v>
      </c>
      <c r="C1191" s="420" t="s">
        <v>39</v>
      </c>
      <c r="D1191" s="421">
        <v>0</v>
      </c>
      <c r="E1191" s="421">
        <v>0</v>
      </c>
      <c r="F1191" s="421">
        <v>0</v>
      </c>
      <c r="G1191" s="423">
        <f t="shared" si="349"/>
        <v>0</v>
      </c>
      <c r="H1191" s="422">
        <f>IF(G1181&gt;0,(G1191-G1181)/G1181,0)</f>
        <v>0</v>
      </c>
      <c r="I1191" s="423">
        <f t="shared" si="348"/>
        <v>0</v>
      </c>
    </row>
    <row r="1192" spans="1:9" x14ac:dyDescent="0.2">
      <c r="G1192" s="423">
        <f>SUM(G1185:G1191)</f>
        <v>1424817.9000000001</v>
      </c>
      <c r="H1192" s="422">
        <f>IF(G1182&gt;0,(G1192-G1182)/G1182,0)</f>
        <v>1.6538883127636131E-4</v>
      </c>
      <c r="I1192" s="423">
        <f t="shared" si="348"/>
        <v>235.61000000010245</v>
      </c>
    </row>
    <row r="1194" spans="1:9" ht="15.75" x14ac:dyDescent="0.25">
      <c r="A1194" s="426">
        <v>45443</v>
      </c>
      <c r="B1194" s="424" t="s">
        <v>343</v>
      </c>
      <c r="C1194" s="424" t="s">
        <v>33</v>
      </c>
      <c r="D1194" s="424" t="s">
        <v>34</v>
      </c>
      <c r="E1194" s="424" t="s">
        <v>35</v>
      </c>
      <c r="F1194" s="424" t="s">
        <v>103</v>
      </c>
      <c r="G1194" s="425" t="s">
        <v>9</v>
      </c>
    </row>
    <row r="1195" spans="1:9" x14ac:dyDescent="0.2">
      <c r="A1195" s="420" t="s">
        <v>437</v>
      </c>
      <c r="B1195" s="420" t="s">
        <v>21</v>
      </c>
      <c r="C1195" s="420" t="s">
        <v>38</v>
      </c>
      <c r="D1195" s="423">
        <v>549.12</v>
      </c>
      <c r="E1195" s="423">
        <v>18236.98</v>
      </c>
      <c r="F1195" s="423">
        <v>35921.449999999997</v>
      </c>
      <c r="G1195" s="423">
        <f>SUM(D1195:F1195)</f>
        <v>54707.549999999996</v>
      </c>
      <c r="H1195" s="422">
        <f t="shared" ref="H1195:H1197" si="350">IF(G1185&gt;0,(G1195-G1185)/G1185,0)</f>
        <v>-0.14287090785175444</v>
      </c>
      <c r="I1195" s="423">
        <f t="shared" ref="I1195:I1202" si="351">G1195-G1185</f>
        <v>-9118.9500000000044</v>
      </c>
    </row>
    <row r="1196" spans="1:9" x14ac:dyDescent="0.2">
      <c r="A1196" s="420" t="s">
        <v>437</v>
      </c>
      <c r="B1196" s="420" t="s">
        <v>351</v>
      </c>
      <c r="C1196" s="420" t="s">
        <v>38</v>
      </c>
      <c r="D1196" s="423">
        <v>0</v>
      </c>
      <c r="E1196" s="423">
        <v>0</v>
      </c>
      <c r="F1196" s="423">
        <v>0</v>
      </c>
      <c r="G1196" s="423">
        <f t="shared" ref="G1196:G1201" si="352">SUM(D1196:F1196)</f>
        <v>0</v>
      </c>
      <c r="H1196" s="422">
        <f t="shared" si="350"/>
        <v>0</v>
      </c>
      <c r="I1196" s="423">
        <f t="shared" si="351"/>
        <v>0</v>
      </c>
    </row>
    <row r="1197" spans="1:9" x14ac:dyDescent="0.2">
      <c r="A1197" s="420" t="s">
        <v>437</v>
      </c>
      <c r="B1197" s="420" t="s">
        <v>345</v>
      </c>
      <c r="C1197" s="420" t="s">
        <v>38</v>
      </c>
      <c r="D1197" s="423">
        <v>19536.39</v>
      </c>
      <c r="E1197" s="423">
        <v>6406.12</v>
      </c>
      <c r="F1197" s="423">
        <v>257743.98</v>
      </c>
      <c r="G1197" s="423">
        <f t="shared" si="352"/>
        <v>283686.49</v>
      </c>
      <c r="H1197" s="422">
        <f t="shared" si="350"/>
        <v>3.4632555014565178E-2</v>
      </c>
      <c r="I1197" s="423">
        <f t="shared" si="351"/>
        <v>9495.9199999999837</v>
      </c>
    </row>
    <row r="1198" spans="1:9" x14ac:dyDescent="0.2">
      <c r="A1198" s="420" t="s">
        <v>437</v>
      </c>
      <c r="B1198" s="420" t="s">
        <v>348</v>
      </c>
      <c r="C1198" s="420" t="s">
        <v>38</v>
      </c>
      <c r="D1198" s="423">
        <v>67631.539999999994</v>
      </c>
      <c r="E1198" s="423">
        <v>24473.77</v>
      </c>
      <c r="F1198" s="423">
        <v>817690.42</v>
      </c>
      <c r="G1198" s="423">
        <f t="shared" si="352"/>
        <v>909795.73</v>
      </c>
      <c r="H1198" s="422">
        <f>IF(G1188&gt;0,(G1198-G1188)/G1188,0)</f>
        <v>3.2981301690394697E-2</v>
      </c>
      <c r="I1198" s="423">
        <f t="shared" si="351"/>
        <v>29048.199999999953</v>
      </c>
    </row>
    <row r="1199" spans="1:9" x14ac:dyDescent="0.2">
      <c r="A1199" s="420" t="s">
        <v>437</v>
      </c>
      <c r="B1199" s="420" t="s">
        <v>348</v>
      </c>
      <c r="C1199" s="420" t="s">
        <v>39</v>
      </c>
      <c r="D1199" s="423">
        <v>27158.91</v>
      </c>
      <c r="E1199" s="423">
        <v>9532.23</v>
      </c>
      <c r="F1199" s="423">
        <v>100581.55</v>
      </c>
      <c r="G1199" s="423">
        <f t="shared" si="352"/>
        <v>137272.69</v>
      </c>
      <c r="H1199" s="422">
        <f>IF(G1189&gt;0,(G1199-G1189)/G1189,0)</f>
        <v>8.3990095113193219E-2</v>
      </c>
      <c r="I1199" s="423">
        <f t="shared" si="351"/>
        <v>10636.209999999992</v>
      </c>
    </row>
    <row r="1200" spans="1:9" x14ac:dyDescent="0.2">
      <c r="A1200" s="420" t="s">
        <v>437</v>
      </c>
      <c r="B1200" s="420" t="s">
        <v>350</v>
      </c>
      <c r="C1200" s="420" t="s">
        <v>38</v>
      </c>
      <c r="D1200" s="423">
        <v>17906.34</v>
      </c>
      <c r="E1200" s="423">
        <v>7007.71</v>
      </c>
      <c r="F1200" s="423">
        <v>63991.58</v>
      </c>
      <c r="G1200" s="423">
        <f t="shared" si="352"/>
        <v>88905.63</v>
      </c>
      <c r="H1200" s="422">
        <f>IF(G1190&gt;0,(G1200-G1190)/G1190,0)</f>
        <v>0.11948111243940511</v>
      </c>
      <c r="I1200" s="423">
        <f t="shared" si="351"/>
        <v>9488.8099999999977</v>
      </c>
    </row>
    <row r="1201" spans="1:9" x14ac:dyDescent="0.2">
      <c r="A1201" s="420" t="s">
        <v>437</v>
      </c>
      <c r="B1201" s="420" t="s">
        <v>350</v>
      </c>
      <c r="C1201" s="420" t="s">
        <v>39</v>
      </c>
      <c r="D1201" s="421">
        <v>0</v>
      </c>
      <c r="E1201" s="421">
        <v>0</v>
      </c>
      <c r="F1201" s="421">
        <v>0</v>
      </c>
      <c r="G1201" s="423">
        <f t="shared" si="352"/>
        <v>0</v>
      </c>
      <c r="H1201" s="422">
        <f>IF(G1191&gt;0,(G1201-G1191)/G1191,0)</f>
        <v>0</v>
      </c>
      <c r="I1201" s="423">
        <f t="shared" si="351"/>
        <v>0</v>
      </c>
    </row>
    <row r="1202" spans="1:9" x14ac:dyDescent="0.2">
      <c r="G1202" s="423">
        <f>SUM(G1195:G1201)</f>
        <v>1474368.0899999999</v>
      </c>
      <c r="H1202" s="422">
        <f>IF(G1192&gt;0,(G1202-G1192)/G1192,0)</f>
        <v>3.4776507229449957E-2</v>
      </c>
      <c r="I1202" s="423">
        <f t="shared" si="351"/>
        <v>49550.189999999711</v>
      </c>
    </row>
    <row r="1204" spans="1:9" ht="15.75" x14ac:dyDescent="0.25">
      <c r="A1204" s="426">
        <v>45473</v>
      </c>
      <c r="B1204" s="424" t="s">
        <v>343</v>
      </c>
      <c r="C1204" s="424" t="s">
        <v>33</v>
      </c>
      <c r="D1204" s="424" t="s">
        <v>34</v>
      </c>
      <c r="E1204" s="424" t="s">
        <v>35</v>
      </c>
      <c r="F1204" s="424" t="s">
        <v>103</v>
      </c>
      <c r="G1204" s="425" t="s">
        <v>9</v>
      </c>
    </row>
    <row r="1205" spans="1:9" x14ac:dyDescent="0.2">
      <c r="A1205" s="420" t="s">
        <v>437</v>
      </c>
      <c r="B1205" s="420" t="s">
        <v>21</v>
      </c>
      <c r="C1205" s="420" t="s">
        <v>38</v>
      </c>
      <c r="D1205" s="423">
        <v>583.19000000000005</v>
      </c>
      <c r="E1205" s="423">
        <v>552</v>
      </c>
      <c r="F1205" s="423">
        <v>54877.18</v>
      </c>
      <c r="G1205" s="423">
        <f>SUM(D1205:F1205)</f>
        <v>56012.37</v>
      </c>
      <c r="H1205" s="422">
        <f t="shared" ref="H1205:H1207" si="353">IF(G1195&gt;0,(G1205-G1195)/G1195,0)</f>
        <v>2.3850821321737256E-2</v>
      </c>
      <c r="I1205" s="423">
        <f t="shared" ref="I1205:I1212" si="354">G1205-G1195</f>
        <v>1304.820000000007</v>
      </c>
    </row>
    <row r="1206" spans="1:9" x14ac:dyDescent="0.2">
      <c r="A1206" s="420" t="s">
        <v>437</v>
      </c>
      <c r="B1206" s="420" t="s">
        <v>351</v>
      </c>
      <c r="C1206" s="420" t="s">
        <v>38</v>
      </c>
      <c r="D1206" s="423">
        <v>0</v>
      </c>
      <c r="E1206" s="423">
        <v>0</v>
      </c>
      <c r="F1206" s="423">
        <v>0</v>
      </c>
      <c r="G1206" s="423">
        <f t="shared" ref="G1206:G1211" si="355">SUM(D1206:F1206)</f>
        <v>0</v>
      </c>
      <c r="H1206" s="422">
        <f t="shared" si="353"/>
        <v>0</v>
      </c>
      <c r="I1206" s="423">
        <f t="shared" si="354"/>
        <v>0</v>
      </c>
    </row>
    <row r="1207" spans="1:9" x14ac:dyDescent="0.2">
      <c r="A1207" s="420" t="s">
        <v>437</v>
      </c>
      <c r="B1207" s="420" t="s">
        <v>345</v>
      </c>
      <c r="C1207" s="420" t="s">
        <v>38</v>
      </c>
      <c r="D1207" s="423">
        <v>18793.98</v>
      </c>
      <c r="E1207" s="423">
        <v>14090.67</v>
      </c>
      <c r="F1207" s="423">
        <v>260834.42</v>
      </c>
      <c r="G1207" s="423">
        <f t="shared" si="355"/>
        <v>293719.07</v>
      </c>
      <c r="H1207" s="422">
        <f t="shared" si="353"/>
        <v>3.5365025666185289E-2</v>
      </c>
      <c r="I1207" s="423">
        <f t="shared" si="354"/>
        <v>10032.580000000016</v>
      </c>
    </row>
    <row r="1208" spans="1:9" x14ac:dyDescent="0.2">
      <c r="A1208" s="420" t="s">
        <v>437</v>
      </c>
      <c r="B1208" s="420" t="s">
        <v>348</v>
      </c>
      <c r="C1208" s="420" t="s">
        <v>38</v>
      </c>
      <c r="D1208" s="423">
        <v>77398.95</v>
      </c>
      <c r="E1208" s="423">
        <v>52166.74</v>
      </c>
      <c r="F1208" s="423">
        <v>828125.6</v>
      </c>
      <c r="G1208" s="423">
        <f t="shared" si="355"/>
        <v>957691.29</v>
      </c>
      <c r="H1208" s="422">
        <f>IF(G1198&gt;0,(G1208-G1198)/G1198,0)</f>
        <v>5.2644300715722264E-2</v>
      </c>
      <c r="I1208" s="423">
        <f t="shared" si="354"/>
        <v>47895.560000000056</v>
      </c>
    </row>
    <row r="1209" spans="1:9" x14ac:dyDescent="0.2">
      <c r="A1209" s="420" t="s">
        <v>437</v>
      </c>
      <c r="B1209" s="420" t="s">
        <v>348</v>
      </c>
      <c r="C1209" s="420" t="s">
        <v>39</v>
      </c>
      <c r="D1209" s="423">
        <v>27165.73</v>
      </c>
      <c r="E1209" s="423">
        <v>21926.61</v>
      </c>
      <c r="F1209" s="423">
        <v>96571.79</v>
      </c>
      <c r="G1209" s="423">
        <f t="shared" si="355"/>
        <v>145664.13</v>
      </c>
      <c r="H1209" s="422">
        <f>IF(G1199&gt;0,(G1209-G1199)/G1199,0)</f>
        <v>6.1129711962372137E-2</v>
      </c>
      <c r="I1209" s="423">
        <f t="shared" si="354"/>
        <v>8391.4400000000023</v>
      </c>
    </row>
    <row r="1210" spans="1:9" x14ac:dyDescent="0.2">
      <c r="A1210" s="420" t="s">
        <v>437</v>
      </c>
      <c r="B1210" s="420" t="s">
        <v>350</v>
      </c>
      <c r="C1210" s="420" t="s">
        <v>38</v>
      </c>
      <c r="D1210" s="423">
        <v>3582.61</v>
      </c>
      <c r="E1210" s="423">
        <v>14831.63</v>
      </c>
      <c r="F1210" s="423">
        <v>64371.15</v>
      </c>
      <c r="G1210" s="423">
        <f t="shared" si="355"/>
        <v>82785.39</v>
      </c>
      <c r="H1210" s="422">
        <f>IF(G1200&gt;0,(G1210-G1200)/G1200,0)</f>
        <v>-6.8839734896429E-2</v>
      </c>
      <c r="I1210" s="423">
        <f t="shared" si="354"/>
        <v>-6120.2400000000052</v>
      </c>
    </row>
    <row r="1211" spans="1:9" x14ac:dyDescent="0.2">
      <c r="A1211" s="420" t="s">
        <v>437</v>
      </c>
      <c r="B1211" s="420" t="s">
        <v>350</v>
      </c>
      <c r="C1211" s="420" t="s">
        <v>39</v>
      </c>
      <c r="D1211" s="421">
        <v>0</v>
      </c>
      <c r="E1211" s="421">
        <v>0</v>
      </c>
      <c r="F1211" s="421">
        <v>0</v>
      </c>
      <c r="G1211" s="423">
        <f t="shared" si="355"/>
        <v>0</v>
      </c>
      <c r="H1211" s="422">
        <f>IF(G1201&gt;0,(G1211-G1201)/G1201,0)</f>
        <v>0</v>
      </c>
      <c r="I1211" s="423">
        <f t="shared" si="354"/>
        <v>0</v>
      </c>
    </row>
    <row r="1212" spans="1:9" x14ac:dyDescent="0.2">
      <c r="G1212" s="423">
        <f>SUM(G1205:G1211)</f>
        <v>1535872.2499999998</v>
      </c>
      <c r="H1212" s="422">
        <f>IF(G1202&gt;0,(G1212-G1202)/G1202,0)</f>
        <v>4.1715607124947963E-2</v>
      </c>
      <c r="I1212" s="423">
        <f t="shared" si="354"/>
        <v>61504.159999999916</v>
      </c>
    </row>
    <row r="1214" spans="1:9" ht="15.75" x14ac:dyDescent="0.25">
      <c r="A1214" s="426">
        <v>45504</v>
      </c>
      <c r="B1214" s="424" t="s">
        <v>343</v>
      </c>
      <c r="C1214" s="424" t="s">
        <v>33</v>
      </c>
      <c r="D1214" s="424" t="s">
        <v>34</v>
      </c>
      <c r="E1214" s="424" t="s">
        <v>35</v>
      </c>
      <c r="F1214" s="424" t="s">
        <v>103</v>
      </c>
      <c r="G1214" s="425" t="s">
        <v>9</v>
      </c>
    </row>
    <row r="1215" spans="1:9" x14ac:dyDescent="0.2">
      <c r="A1215" s="420" t="s">
        <v>439</v>
      </c>
      <c r="B1215" s="420" t="s">
        <v>21</v>
      </c>
      <c r="C1215" s="420" t="s">
        <v>38</v>
      </c>
      <c r="D1215" s="423">
        <v>4797.74</v>
      </c>
      <c r="E1215" s="423">
        <v>561.91</v>
      </c>
      <c r="F1215" s="423">
        <v>51170.94</v>
      </c>
      <c r="G1215" s="423">
        <f>SUM(D1215:F1215)</f>
        <v>56530.590000000004</v>
      </c>
      <c r="H1215" s="422">
        <f t="shared" ref="H1215:H1217" si="356">IF(G1205&gt;0,(G1215-G1205)/G1205,0)</f>
        <v>9.2518848961399263E-3</v>
      </c>
      <c r="I1215" s="423">
        <f t="shared" ref="I1215:I1222" si="357">G1215-G1205</f>
        <v>518.22000000000116</v>
      </c>
    </row>
    <row r="1216" spans="1:9" x14ac:dyDescent="0.2">
      <c r="A1216" s="420" t="s">
        <v>439</v>
      </c>
      <c r="B1216" s="420" t="s">
        <v>351</v>
      </c>
      <c r="C1216" s="420" t="s">
        <v>38</v>
      </c>
      <c r="D1216" s="423">
        <v>1093.67</v>
      </c>
      <c r="E1216" s="423">
        <v>0</v>
      </c>
      <c r="F1216" s="423">
        <v>0</v>
      </c>
      <c r="G1216" s="423">
        <f t="shared" ref="G1216:G1221" si="358">SUM(D1216:F1216)</f>
        <v>1093.67</v>
      </c>
      <c r="H1216" s="422">
        <f t="shared" si="356"/>
        <v>0</v>
      </c>
      <c r="I1216" s="423">
        <f t="shared" si="357"/>
        <v>1093.67</v>
      </c>
    </row>
    <row r="1217" spans="1:9" x14ac:dyDescent="0.2">
      <c r="A1217" s="420" t="s">
        <v>439</v>
      </c>
      <c r="B1217" s="420" t="s">
        <v>345</v>
      </c>
      <c r="C1217" s="420" t="s">
        <v>38</v>
      </c>
      <c r="D1217" s="423">
        <v>18087.900000000001</v>
      </c>
      <c r="E1217" s="423">
        <v>11050.01</v>
      </c>
      <c r="F1217" s="423">
        <v>259037.45</v>
      </c>
      <c r="G1217" s="423">
        <f t="shared" si="358"/>
        <v>288175.35999999999</v>
      </c>
      <c r="H1217" s="422">
        <f t="shared" si="356"/>
        <v>-1.8874191587219792E-2</v>
      </c>
      <c r="I1217" s="423">
        <f t="shared" si="357"/>
        <v>-5543.710000000021</v>
      </c>
    </row>
    <row r="1218" spans="1:9" x14ac:dyDescent="0.2">
      <c r="A1218" s="420" t="s">
        <v>439</v>
      </c>
      <c r="B1218" s="420" t="s">
        <v>348</v>
      </c>
      <c r="C1218" s="420" t="s">
        <v>38</v>
      </c>
      <c r="D1218" s="423">
        <v>39654.74</v>
      </c>
      <c r="E1218" s="423">
        <v>58611.87</v>
      </c>
      <c r="F1218" s="423">
        <v>838781.15</v>
      </c>
      <c r="G1218" s="423">
        <f t="shared" si="358"/>
        <v>937047.76</v>
      </c>
      <c r="H1218" s="422">
        <f>IF(G1208&gt;0,(G1218-G1208)/G1208,0)</f>
        <v>-2.1555516078672936E-2</v>
      </c>
      <c r="I1218" s="423">
        <f t="shared" si="357"/>
        <v>-20643.530000000028</v>
      </c>
    </row>
    <row r="1219" spans="1:9" x14ac:dyDescent="0.2">
      <c r="A1219" s="420" t="s">
        <v>439</v>
      </c>
      <c r="B1219" s="420" t="s">
        <v>348</v>
      </c>
      <c r="C1219" s="420" t="s">
        <v>39</v>
      </c>
      <c r="D1219" s="423">
        <v>10451.299999999999</v>
      </c>
      <c r="E1219" s="423">
        <v>21556.45</v>
      </c>
      <c r="F1219" s="423">
        <v>100044.03</v>
      </c>
      <c r="G1219" s="423">
        <f t="shared" si="358"/>
        <v>132051.78</v>
      </c>
      <c r="H1219" s="422">
        <f>IF(G1209&gt;0,(G1219-G1209)/G1209,0)</f>
        <v>-9.3450254362553123E-2</v>
      </c>
      <c r="I1219" s="423">
        <f t="shared" si="357"/>
        <v>-13612.350000000006</v>
      </c>
    </row>
    <row r="1220" spans="1:9" x14ac:dyDescent="0.2">
      <c r="A1220" s="420" t="s">
        <v>439</v>
      </c>
      <c r="B1220" s="420" t="s">
        <v>350</v>
      </c>
      <c r="C1220" s="420" t="s">
        <v>38</v>
      </c>
      <c r="D1220" s="423">
        <v>927.01</v>
      </c>
      <c r="E1220" s="423">
        <v>2589.9899999999998</v>
      </c>
      <c r="F1220" s="423">
        <v>67520</v>
      </c>
      <c r="G1220" s="423">
        <f t="shared" si="358"/>
        <v>71037</v>
      </c>
      <c r="H1220" s="422">
        <f>IF(G1210&gt;0,(G1220-G1210)/G1210,0)</f>
        <v>-0.14191380870465187</v>
      </c>
      <c r="I1220" s="423">
        <f t="shared" si="357"/>
        <v>-11748.39</v>
      </c>
    </row>
    <row r="1221" spans="1:9" x14ac:dyDescent="0.2">
      <c r="A1221" s="420" t="s">
        <v>439</v>
      </c>
      <c r="B1221" s="420" t="s">
        <v>350</v>
      </c>
      <c r="C1221" s="420" t="s">
        <v>39</v>
      </c>
      <c r="D1221" s="421">
        <v>0</v>
      </c>
      <c r="E1221" s="421">
        <v>0</v>
      </c>
      <c r="F1221" s="421">
        <v>0</v>
      </c>
      <c r="G1221" s="423">
        <f t="shared" si="358"/>
        <v>0</v>
      </c>
      <c r="H1221" s="422">
        <f>IF(G1211&gt;0,(G1221-G1211)/G1211,0)</f>
        <v>0</v>
      </c>
      <c r="I1221" s="423">
        <f t="shared" si="357"/>
        <v>0</v>
      </c>
    </row>
    <row r="1222" spans="1:9" x14ac:dyDescent="0.2">
      <c r="G1222" s="423">
        <f>SUM(G1215:G1221)</f>
        <v>1485936.16</v>
      </c>
      <c r="H1222" s="422">
        <f>IF(G1212&gt;0,(G1222-G1212)/G1212,0)</f>
        <v>-3.2513179400174633E-2</v>
      </c>
      <c r="I1222" s="423">
        <f t="shared" si="357"/>
        <v>-49936.089999999851</v>
      </c>
    </row>
    <row r="1224" spans="1:9" ht="15.75" x14ac:dyDescent="0.25">
      <c r="A1224" s="426">
        <v>45535</v>
      </c>
      <c r="B1224" s="424" t="s">
        <v>343</v>
      </c>
      <c r="C1224" s="424" t="s">
        <v>33</v>
      </c>
      <c r="D1224" s="424" t="s">
        <v>34</v>
      </c>
      <c r="E1224" s="424" t="s">
        <v>35</v>
      </c>
      <c r="F1224" s="424" t="s">
        <v>103</v>
      </c>
      <c r="G1224" s="425" t="s">
        <v>9</v>
      </c>
    </row>
    <row r="1225" spans="1:9" x14ac:dyDescent="0.2">
      <c r="A1225" s="420" t="s">
        <v>439</v>
      </c>
      <c r="B1225" s="420" t="s">
        <v>21</v>
      </c>
      <c r="C1225" s="420" t="s">
        <v>38</v>
      </c>
      <c r="D1225" s="423">
        <v>1619.04</v>
      </c>
      <c r="E1225" s="423">
        <v>19.62</v>
      </c>
      <c r="F1225" s="423">
        <v>8594.65</v>
      </c>
      <c r="G1225" s="423">
        <f>SUM(D1225:F1225)</f>
        <v>10233.31</v>
      </c>
      <c r="H1225" s="422">
        <f t="shared" ref="H1225:H1227" si="359">IF(G1215&gt;0,(G1225-G1215)/G1215,0)</f>
        <v>-0.81897747750377281</v>
      </c>
      <c r="I1225" s="423">
        <f t="shared" ref="I1225:I1232" si="360">G1225-G1215</f>
        <v>-46297.280000000006</v>
      </c>
    </row>
    <row r="1226" spans="1:9" x14ac:dyDescent="0.2">
      <c r="A1226" s="420" t="s">
        <v>439</v>
      </c>
      <c r="B1226" s="420" t="s">
        <v>351</v>
      </c>
      <c r="C1226" s="420" t="s">
        <v>38</v>
      </c>
      <c r="D1226" s="423">
        <v>0</v>
      </c>
      <c r="E1226" s="423">
        <v>0</v>
      </c>
      <c r="F1226" s="423">
        <v>0</v>
      </c>
      <c r="G1226" s="423">
        <f t="shared" ref="G1226:G1231" si="361">SUM(D1226:F1226)</f>
        <v>0</v>
      </c>
      <c r="H1226" s="422">
        <f t="shared" si="359"/>
        <v>-1</v>
      </c>
      <c r="I1226" s="423">
        <f t="shared" si="360"/>
        <v>-1093.67</v>
      </c>
    </row>
    <row r="1227" spans="1:9" x14ac:dyDescent="0.2">
      <c r="A1227" s="420" t="s">
        <v>439</v>
      </c>
      <c r="B1227" s="420" t="s">
        <v>345</v>
      </c>
      <c r="C1227" s="420" t="s">
        <v>38</v>
      </c>
      <c r="D1227" s="423">
        <v>26350.77</v>
      </c>
      <c r="E1227" s="423">
        <v>13490.61</v>
      </c>
      <c r="F1227" s="423">
        <v>260991.69</v>
      </c>
      <c r="G1227" s="423">
        <f t="shared" si="361"/>
        <v>300833.07</v>
      </c>
      <c r="H1227" s="422">
        <f t="shared" si="359"/>
        <v>4.3923637329714868E-2</v>
      </c>
      <c r="I1227" s="423">
        <f t="shared" si="360"/>
        <v>12657.710000000021</v>
      </c>
    </row>
    <row r="1228" spans="1:9" x14ac:dyDescent="0.2">
      <c r="A1228" s="420" t="s">
        <v>439</v>
      </c>
      <c r="B1228" s="420" t="s">
        <v>348</v>
      </c>
      <c r="C1228" s="420" t="s">
        <v>38</v>
      </c>
      <c r="D1228" s="423">
        <v>78223.44</v>
      </c>
      <c r="E1228" s="423">
        <v>32220.75</v>
      </c>
      <c r="F1228" s="423">
        <v>853549.37</v>
      </c>
      <c r="G1228" s="423">
        <f t="shared" si="361"/>
        <v>963993.56</v>
      </c>
      <c r="H1228" s="422">
        <f>IF(G1218&gt;0,(G1228-G1218)/G1218,0)</f>
        <v>2.8756058282450883E-2</v>
      </c>
      <c r="I1228" s="423">
        <f t="shared" si="360"/>
        <v>26945.800000000047</v>
      </c>
    </row>
    <row r="1229" spans="1:9" x14ac:dyDescent="0.2">
      <c r="A1229" s="420" t="s">
        <v>439</v>
      </c>
      <c r="B1229" s="420" t="s">
        <v>348</v>
      </c>
      <c r="C1229" s="420" t="s">
        <v>39</v>
      </c>
      <c r="D1229" s="423">
        <v>31700.41</v>
      </c>
      <c r="E1229" s="423">
        <v>8624.61</v>
      </c>
      <c r="F1229" s="423">
        <v>105763.1</v>
      </c>
      <c r="G1229" s="423">
        <f t="shared" si="361"/>
        <v>146088.12</v>
      </c>
      <c r="H1229" s="422">
        <f>IF(G1219&gt;0,(G1229-G1219)/G1219,0)</f>
        <v>0.1062942127701724</v>
      </c>
      <c r="I1229" s="423">
        <f t="shared" si="360"/>
        <v>14036.339999999997</v>
      </c>
    </row>
    <row r="1230" spans="1:9" x14ac:dyDescent="0.2">
      <c r="A1230" s="420" t="s">
        <v>439</v>
      </c>
      <c r="B1230" s="420" t="s">
        <v>350</v>
      </c>
      <c r="C1230" s="420" t="s">
        <v>38</v>
      </c>
      <c r="D1230" s="423">
        <v>22432.49</v>
      </c>
      <c r="E1230" s="423">
        <v>516.66</v>
      </c>
      <c r="F1230" s="423">
        <v>59052.24</v>
      </c>
      <c r="G1230" s="423">
        <f t="shared" si="361"/>
        <v>82001.39</v>
      </c>
      <c r="H1230" s="422">
        <f>IF(G1220&gt;0,(G1230-G1220)/G1220,0)</f>
        <v>0.15434759350760871</v>
      </c>
      <c r="I1230" s="423">
        <f t="shared" si="360"/>
        <v>10964.39</v>
      </c>
    </row>
    <row r="1231" spans="1:9" x14ac:dyDescent="0.2">
      <c r="A1231" s="420" t="s">
        <v>439</v>
      </c>
      <c r="B1231" s="420" t="s">
        <v>350</v>
      </c>
      <c r="C1231" s="420" t="s">
        <v>39</v>
      </c>
      <c r="D1231" s="421">
        <v>0</v>
      </c>
      <c r="E1231" s="421">
        <v>0</v>
      </c>
      <c r="F1231" s="421">
        <v>0</v>
      </c>
      <c r="G1231" s="423">
        <f t="shared" si="361"/>
        <v>0</v>
      </c>
      <c r="H1231" s="422">
        <f>IF(G1221&gt;0,(G1231-G1221)/G1221,0)</f>
        <v>0</v>
      </c>
      <c r="I1231" s="423">
        <f t="shared" si="360"/>
        <v>0</v>
      </c>
    </row>
    <row r="1232" spans="1:9" x14ac:dyDescent="0.2">
      <c r="G1232" s="423">
        <f>SUM(G1225:G1231)</f>
        <v>1503149.45</v>
      </c>
      <c r="H1232" s="422">
        <f>IF(G1222&gt;0,(G1232-G1222)/G1222,0)</f>
        <v>1.1584138311837057E-2</v>
      </c>
      <c r="I1232" s="423">
        <f t="shared" si="360"/>
        <v>17213.290000000037</v>
      </c>
    </row>
    <row r="1234" spans="1:9" ht="15.75" x14ac:dyDescent="0.25">
      <c r="A1234" s="426">
        <v>45565</v>
      </c>
      <c r="B1234" s="424" t="s">
        <v>343</v>
      </c>
      <c r="C1234" s="424" t="s">
        <v>33</v>
      </c>
      <c r="D1234" s="424" t="s">
        <v>34</v>
      </c>
      <c r="E1234" s="424" t="s">
        <v>35</v>
      </c>
      <c r="F1234" s="424" t="s">
        <v>103</v>
      </c>
      <c r="G1234" s="425" t="s">
        <v>9</v>
      </c>
    </row>
    <row r="1235" spans="1:9" x14ac:dyDescent="0.2">
      <c r="A1235" s="420" t="s">
        <v>439</v>
      </c>
      <c r="B1235" s="420" t="s">
        <v>21</v>
      </c>
      <c r="C1235" s="420" t="s">
        <v>38</v>
      </c>
      <c r="D1235" s="423">
        <v>2053.64</v>
      </c>
      <c r="E1235" s="423">
        <v>11.14</v>
      </c>
      <c r="F1235" s="423">
        <v>8345.56</v>
      </c>
      <c r="G1235" s="423">
        <f>SUM(D1235:F1235)</f>
        <v>10410.34</v>
      </c>
      <c r="H1235" s="422">
        <f t="shared" ref="H1235:H1237" si="362">IF(G1225&gt;0,(G1235-G1225)/G1225,0)</f>
        <v>1.7299387979060603E-2</v>
      </c>
      <c r="I1235" s="423">
        <f t="shared" ref="I1235:I1242" si="363">G1235-G1225</f>
        <v>177.03000000000065</v>
      </c>
    </row>
    <row r="1236" spans="1:9" x14ac:dyDescent="0.2">
      <c r="A1236" s="420" t="s">
        <v>439</v>
      </c>
      <c r="B1236" s="420" t="s">
        <v>351</v>
      </c>
      <c r="C1236" s="420" t="s">
        <v>38</v>
      </c>
      <c r="D1236" s="423">
        <v>0</v>
      </c>
      <c r="E1236" s="423">
        <v>0</v>
      </c>
      <c r="F1236" s="423">
        <v>0</v>
      </c>
      <c r="G1236" s="423">
        <f t="shared" ref="G1236:G1241" si="364">SUM(D1236:F1236)</f>
        <v>0</v>
      </c>
      <c r="H1236" s="422">
        <f t="shared" si="362"/>
        <v>0</v>
      </c>
      <c r="I1236" s="423">
        <f t="shared" si="363"/>
        <v>0</v>
      </c>
    </row>
    <row r="1237" spans="1:9" x14ac:dyDescent="0.2">
      <c r="A1237" s="420" t="s">
        <v>439</v>
      </c>
      <c r="B1237" s="420" t="s">
        <v>345</v>
      </c>
      <c r="C1237" s="420" t="s">
        <v>38</v>
      </c>
      <c r="D1237" s="423">
        <v>44210.06</v>
      </c>
      <c r="E1237" s="423">
        <v>23446.86</v>
      </c>
      <c r="F1237" s="423">
        <v>268800.38</v>
      </c>
      <c r="G1237" s="423">
        <f t="shared" si="364"/>
        <v>336457.3</v>
      </c>
      <c r="H1237" s="422">
        <f t="shared" si="362"/>
        <v>0.11841859673206799</v>
      </c>
      <c r="I1237" s="423">
        <f t="shared" si="363"/>
        <v>35624.229999999981</v>
      </c>
    </row>
    <row r="1238" spans="1:9" x14ac:dyDescent="0.2">
      <c r="A1238" s="420" t="s">
        <v>439</v>
      </c>
      <c r="B1238" s="420" t="s">
        <v>348</v>
      </c>
      <c r="C1238" s="420" t="s">
        <v>38</v>
      </c>
      <c r="D1238" s="423">
        <v>82076.27</v>
      </c>
      <c r="E1238" s="423">
        <v>56584.01</v>
      </c>
      <c r="F1238" s="423">
        <v>857668.08</v>
      </c>
      <c r="G1238" s="423">
        <f t="shared" si="364"/>
        <v>996328.36</v>
      </c>
      <c r="H1238" s="422">
        <f>IF(G1228&gt;0,(G1238-G1228)/G1228,0)</f>
        <v>3.3542547732372745E-2</v>
      </c>
      <c r="I1238" s="423">
        <f t="shared" si="363"/>
        <v>32334.79999999993</v>
      </c>
    </row>
    <row r="1239" spans="1:9" x14ac:dyDescent="0.2">
      <c r="A1239" s="420" t="s">
        <v>439</v>
      </c>
      <c r="B1239" s="420" t="s">
        <v>348</v>
      </c>
      <c r="C1239" s="420" t="s">
        <v>39</v>
      </c>
      <c r="D1239" s="423">
        <v>27671.31</v>
      </c>
      <c r="E1239" s="423">
        <v>27581.55</v>
      </c>
      <c r="F1239" s="423">
        <v>100790.39999999999</v>
      </c>
      <c r="G1239" s="423">
        <f t="shared" si="364"/>
        <v>156043.26</v>
      </c>
      <c r="H1239" s="422">
        <f>IF(G1229&gt;0,(G1239-G1229)/G1229,0)</f>
        <v>6.8144760847083347E-2</v>
      </c>
      <c r="I1239" s="423">
        <f t="shared" si="363"/>
        <v>9955.140000000014</v>
      </c>
    </row>
    <row r="1240" spans="1:9" x14ac:dyDescent="0.2">
      <c r="A1240" s="420" t="s">
        <v>439</v>
      </c>
      <c r="B1240" s="420" t="s">
        <v>350</v>
      </c>
      <c r="C1240" s="420" t="s">
        <v>38</v>
      </c>
      <c r="D1240" s="423">
        <v>7847.23</v>
      </c>
      <c r="E1240" s="423">
        <v>17652.38</v>
      </c>
      <c r="F1240" s="423">
        <v>52549.89</v>
      </c>
      <c r="G1240" s="423">
        <f t="shared" si="364"/>
        <v>78049.5</v>
      </c>
      <c r="H1240" s="422">
        <f>IF(G1230&gt;0,(G1240-G1230)/G1230,0)</f>
        <v>-4.8192963558300654E-2</v>
      </c>
      <c r="I1240" s="423">
        <f t="shared" si="363"/>
        <v>-3951.8899999999994</v>
      </c>
    </row>
    <row r="1241" spans="1:9" x14ac:dyDescent="0.2">
      <c r="A1241" s="420" t="s">
        <v>439</v>
      </c>
      <c r="B1241" s="420" t="s">
        <v>350</v>
      </c>
      <c r="C1241" s="420" t="s">
        <v>39</v>
      </c>
      <c r="D1241" s="421">
        <v>0</v>
      </c>
      <c r="E1241" s="421">
        <v>0</v>
      </c>
      <c r="F1241" s="421">
        <v>0</v>
      </c>
      <c r="G1241" s="423">
        <f t="shared" si="364"/>
        <v>0</v>
      </c>
      <c r="H1241" s="422">
        <f>IF(G1231&gt;0,(G1241-G1231)/G1231,0)</f>
        <v>0</v>
      </c>
      <c r="I1241" s="423">
        <f t="shared" si="363"/>
        <v>0</v>
      </c>
    </row>
    <row r="1242" spans="1:9" x14ac:dyDescent="0.2">
      <c r="G1242" s="423">
        <f>SUM(G1235:G1241)</f>
        <v>1577288.76</v>
      </c>
      <c r="H1242" s="422">
        <f>IF(G1232&gt;0,(G1242-G1232)/G1232,0)</f>
        <v>4.9322647192533021E-2</v>
      </c>
      <c r="I1242" s="423">
        <f t="shared" si="363"/>
        <v>74139.310000000056</v>
      </c>
    </row>
    <row r="1244" spans="1:9" ht="15.75" x14ac:dyDescent="0.25">
      <c r="A1244" s="426">
        <v>45596</v>
      </c>
      <c r="B1244" s="424" t="s">
        <v>343</v>
      </c>
      <c r="C1244" s="424" t="s">
        <v>33</v>
      </c>
      <c r="D1244" s="424" t="s">
        <v>34</v>
      </c>
      <c r="E1244" s="424" t="s">
        <v>35</v>
      </c>
      <c r="F1244" s="424" t="s">
        <v>103</v>
      </c>
      <c r="G1244" s="425" t="s">
        <v>9</v>
      </c>
    </row>
    <row r="1245" spans="1:9" x14ac:dyDescent="0.2">
      <c r="A1245" s="420" t="s">
        <v>439</v>
      </c>
      <c r="B1245" s="420" t="s">
        <v>21</v>
      </c>
      <c r="C1245" s="420" t="s">
        <v>38</v>
      </c>
      <c r="D1245" s="423">
        <v>4335.3</v>
      </c>
      <c r="E1245" s="423">
        <v>2054.5500000000002</v>
      </c>
      <c r="F1245" s="423">
        <v>8347.52</v>
      </c>
      <c r="G1245" s="423">
        <f>SUM(D1245:F1245)</f>
        <v>14737.37</v>
      </c>
      <c r="H1245" s="422">
        <f t="shared" ref="H1245:H1247" si="365">IF(G1235&gt;0,(G1245-G1235)/G1235,0)</f>
        <v>0.41564732756086742</v>
      </c>
      <c r="I1245" s="423">
        <f t="shared" ref="I1245:I1252" si="366">G1245-G1235</f>
        <v>4327.0300000000007</v>
      </c>
    </row>
    <row r="1246" spans="1:9" x14ac:dyDescent="0.2">
      <c r="A1246" s="420" t="s">
        <v>439</v>
      </c>
      <c r="B1246" s="420" t="s">
        <v>351</v>
      </c>
      <c r="C1246" s="420" t="s">
        <v>38</v>
      </c>
      <c r="D1246" s="423">
        <v>0</v>
      </c>
      <c r="E1246" s="423">
        <v>0</v>
      </c>
      <c r="F1246" s="423">
        <v>0</v>
      </c>
      <c r="G1246" s="423">
        <f t="shared" ref="G1246:G1251" si="367">SUM(D1246:F1246)</f>
        <v>0</v>
      </c>
      <c r="H1246" s="422">
        <f t="shared" si="365"/>
        <v>0</v>
      </c>
      <c r="I1246" s="423">
        <f t="shared" si="366"/>
        <v>0</v>
      </c>
    </row>
    <row r="1247" spans="1:9" x14ac:dyDescent="0.2">
      <c r="A1247" s="420" t="s">
        <v>439</v>
      </c>
      <c r="B1247" s="420" t="s">
        <v>345</v>
      </c>
      <c r="C1247" s="420" t="s">
        <v>38</v>
      </c>
      <c r="D1247" s="423">
        <v>12982.59</v>
      </c>
      <c r="E1247" s="423">
        <v>20584.189999999999</v>
      </c>
      <c r="F1247" s="423">
        <v>278856.82</v>
      </c>
      <c r="G1247" s="423">
        <f t="shared" si="367"/>
        <v>312423.59999999998</v>
      </c>
      <c r="H1247" s="422">
        <f t="shared" si="365"/>
        <v>-7.1431649721970705E-2</v>
      </c>
      <c r="I1247" s="423">
        <f t="shared" si="366"/>
        <v>-24033.700000000012</v>
      </c>
    </row>
    <row r="1248" spans="1:9" x14ac:dyDescent="0.2">
      <c r="A1248" s="420" t="s">
        <v>439</v>
      </c>
      <c r="B1248" s="420" t="s">
        <v>348</v>
      </c>
      <c r="C1248" s="420" t="s">
        <v>38</v>
      </c>
      <c r="D1248" s="423">
        <v>31601.93</v>
      </c>
      <c r="E1248" s="423">
        <v>59533.34</v>
      </c>
      <c r="F1248" s="423">
        <v>867286.19</v>
      </c>
      <c r="G1248" s="423">
        <f t="shared" si="367"/>
        <v>958421.46</v>
      </c>
      <c r="H1248" s="422">
        <f>IF(G1238&gt;0,(G1248-G1238)/G1238,0)</f>
        <v>-3.8046593394169791E-2</v>
      </c>
      <c r="I1248" s="423">
        <f t="shared" si="366"/>
        <v>-37906.900000000023</v>
      </c>
    </row>
    <row r="1249" spans="1:9" x14ac:dyDescent="0.2">
      <c r="A1249" s="420" t="s">
        <v>439</v>
      </c>
      <c r="B1249" s="420" t="s">
        <v>348</v>
      </c>
      <c r="C1249" s="420" t="s">
        <v>39</v>
      </c>
      <c r="D1249" s="423">
        <v>5936.73</v>
      </c>
      <c r="E1249" s="423">
        <v>17538.099999999999</v>
      </c>
      <c r="F1249" s="423">
        <v>105856.92</v>
      </c>
      <c r="G1249" s="423">
        <f t="shared" si="367"/>
        <v>129331.75</v>
      </c>
      <c r="H1249" s="422">
        <f>IF(G1239&gt;0,(G1249-G1239)/G1239,0)</f>
        <v>-0.17118015863036959</v>
      </c>
      <c r="I1249" s="423">
        <f t="shared" si="366"/>
        <v>-26711.510000000009</v>
      </c>
    </row>
    <row r="1250" spans="1:9" x14ac:dyDescent="0.2">
      <c r="A1250" s="420" t="s">
        <v>439</v>
      </c>
      <c r="B1250" s="420" t="s">
        <v>350</v>
      </c>
      <c r="C1250" s="420" t="s">
        <v>38</v>
      </c>
      <c r="D1250" s="423">
        <v>201.89</v>
      </c>
      <c r="E1250" s="423">
        <v>4322.66</v>
      </c>
      <c r="F1250" s="423">
        <v>66686.69</v>
      </c>
      <c r="G1250" s="423">
        <f t="shared" si="367"/>
        <v>71211.240000000005</v>
      </c>
      <c r="H1250" s="422">
        <f>IF(G1240&gt;0,(G1250-G1240)/G1240,0)</f>
        <v>-8.7614398554763259E-2</v>
      </c>
      <c r="I1250" s="423">
        <f t="shared" si="366"/>
        <v>-6838.2599999999948</v>
      </c>
    </row>
    <row r="1251" spans="1:9" x14ac:dyDescent="0.2">
      <c r="A1251" s="420" t="s">
        <v>439</v>
      </c>
      <c r="B1251" s="420" t="s">
        <v>350</v>
      </c>
      <c r="C1251" s="420" t="s">
        <v>39</v>
      </c>
      <c r="D1251" s="421">
        <v>0</v>
      </c>
      <c r="E1251" s="421">
        <v>0</v>
      </c>
      <c r="F1251" s="421">
        <v>0</v>
      </c>
      <c r="G1251" s="423">
        <f t="shared" si="367"/>
        <v>0</v>
      </c>
      <c r="H1251" s="422">
        <f>IF(G1241&gt;0,(G1251-G1241)/G1241,0)</f>
        <v>0</v>
      </c>
      <c r="I1251" s="423">
        <f t="shared" si="366"/>
        <v>0</v>
      </c>
    </row>
    <row r="1252" spans="1:9" x14ac:dyDescent="0.2">
      <c r="G1252" s="423">
        <f>SUM(G1245:G1251)</f>
        <v>1486125.42</v>
      </c>
      <c r="H1252" s="422">
        <f>IF(G1242&gt;0,(G1252-G1242)/G1242,0)</f>
        <v>-5.7797495494737491E-2</v>
      </c>
      <c r="I1252" s="423">
        <f t="shared" si="366"/>
        <v>-91163.340000000084</v>
      </c>
    </row>
    <row r="1254" spans="1:9" ht="15.75" x14ac:dyDescent="0.25">
      <c r="A1254" s="426">
        <v>45626</v>
      </c>
      <c r="B1254" s="424" t="s">
        <v>343</v>
      </c>
      <c r="C1254" s="424" t="s">
        <v>33</v>
      </c>
      <c r="D1254" s="424" t="s">
        <v>34</v>
      </c>
      <c r="E1254" s="424" t="s">
        <v>35</v>
      </c>
      <c r="F1254" s="424" t="s">
        <v>103</v>
      </c>
      <c r="G1254" s="425" t="s">
        <v>9</v>
      </c>
    </row>
    <row r="1255" spans="1:9" x14ac:dyDescent="0.2">
      <c r="A1255" s="420" t="s">
        <v>439</v>
      </c>
      <c r="B1255" s="420" t="s">
        <v>21</v>
      </c>
      <c r="C1255" s="420" t="s">
        <v>38</v>
      </c>
      <c r="D1255" s="423">
        <v>303.92</v>
      </c>
      <c r="E1255" s="423">
        <v>3608.68</v>
      </c>
      <c r="F1255" s="423">
        <v>6508.8</v>
      </c>
      <c r="G1255" s="423">
        <f>SUM(D1255:F1255)</f>
        <v>10421.4</v>
      </c>
      <c r="H1255" s="422">
        <f t="shared" ref="H1255:H1257" si="368">IF(G1245&gt;0,(G1255-G1245)/G1245,0)</f>
        <v>-0.29285890223289507</v>
      </c>
      <c r="I1255" s="423">
        <f t="shared" ref="I1255:I1262" si="369">G1255-G1245</f>
        <v>-4315.9700000000012</v>
      </c>
    </row>
    <row r="1256" spans="1:9" x14ac:dyDescent="0.2">
      <c r="A1256" s="420" t="s">
        <v>439</v>
      </c>
      <c r="B1256" s="420" t="s">
        <v>351</v>
      </c>
      <c r="C1256" s="420" t="s">
        <v>38</v>
      </c>
      <c r="D1256" s="423">
        <v>0</v>
      </c>
      <c r="E1256" s="423">
        <v>0</v>
      </c>
      <c r="F1256" s="423">
        <v>0</v>
      </c>
      <c r="G1256" s="423">
        <f t="shared" ref="G1256:G1261" si="370">SUM(D1256:F1256)</f>
        <v>0</v>
      </c>
      <c r="H1256" s="422">
        <f t="shared" si="368"/>
        <v>0</v>
      </c>
      <c r="I1256" s="423">
        <f t="shared" si="369"/>
        <v>0</v>
      </c>
    </row>
    <row r="1257" spans="1:9" x14ac:dyDescent="0.2">
      <c r="A1257" s="420" t="s">
        <v>439</v>
      </c>
      <c r="B1257" s="420" t="s">
        <v>345</v>
      </c>
      <c r="C1257" s="420" t="s">
        <v>38</v>
      </c>
      <c r="D1257" s="423">
        <v>40759.19</v>
      </c>
      <c r="E1257" s="423">
        <v>12449.39</v>
      </c>
      <c r="F1257" s="423">
        <v>270963.05</v>
      </c>
      <c r="G1257" s="423">
        <f t="shared" si="370"/>
        <v>324171.63</v>
      </c>
      <c r="H1257" s="422">
        <f t="shared" si="368"/>
        <v>3.7602889154340548E-2</v>
      </c>
      <c r="I1257" s="423">
        <f t="shared" si="369"/>
        <v>11748.030000000028</v>
      </c>
    </row>
    <row r="1258" spans="1:9" x14ac:dyDescent="0.2">
      <c r="A1258" s="420" t="s">
        <v>439</v>
      </c>
      <c r="B1258" s="420" t="s">
        <v>348</v>
      </c>
      <c r="C1258" s="420" t="s">
        <v>38</v>
      </c>
      <c r="D1258" s="423">
        <v>83182.42</v>
      </c>
      <c r="E1258" s="423">
        <v>25645.3</v>
      </c>
      <c r="F1258" s="423">
        <v>885050.83</v>
      </c>
      <c r="G1258" s="423">
        <f t="shared" si="370"/>
        <v>993878.54999999993</v>
      </c>
      <c r="H1258" s="422">
        <f>IF(G1248&gt;0,(G1258-G1248)/G1248,0)</f>
        <v>3.6995300585193458E-2</v>
      </c>
      <c r="I1258" s="423">
        <f t="shared" si="369"/>
        <v>35457.089999999967</v>
      </c>
    </row>
    <row r="1259" spans="1:9" x14ac:dyDescent="0.2">
      <c r="A1259" s="420" t="s">
        <v>439</v>
      </c>
      <c r="B1259" s="420" t="s">
        <v>348</v>
      </c>
      <c r="C1259" s="420" t="s">
        <v>39</v>
      </c>
      <c r="D1259" s="423">
        <v>28442.98</v>
      </c>
      <c r="E1259" s="423">
        <v>4699.92</v>
      </c>
      <c r="F1259" s="423">
        <v>106622.35</v>
      </c>
      <c r="G1259" s="423">
        <f t="shared" si="370"/>
        <v>139765.25</v>
      </c>
      <c r="H1259" s="422">
        <f>IF(G1249&gt;0,(G1259-G1249)/G1249,0)</f>
        <v>8.0672379365469032E-2</v>
      </c>
      <c r="I1259" s="423">
        <f t="shared" si="369"/>
        <v>10433.5</v>
      </c>
    </row>
    <row r="1260" spans="1:9" x14ac:dyDescent="0.2">
      <c r="A1260" s="420" t="s">
        <v>439</v>
      </c>
      <c r="B1260" s="420" t="s">
        <v>350</v>
      </c>
      <c r="C1260" s="420" t="s">
        <v>38</v>
      </c>
      <c r="D1260" s="423">
        <v>25816.1</v>
      </c>
      <c r="E1260" s="423">
        <v>201.56</v>
      </c>
      <c r="F1260" s="423">
        <v>68315.75</v>
      </c>
      <c r="G1260" s="423">
        <f t="shared" si="370"/>
        <v>94333.41</v>
      </c>
      <c r="H1260" s="422">
        <f>IF(G1250&gt;0,(G1260-G1250)/G1250,0)</f>
        <v>0.32469832009665883</v>
      </c>
      <c r="I1260" s="423">
        <f t="shared" si="369"/>
        <v>23122.17</v>
      </c>
    </row>
    <row r="1261" spans="1:9" x14ac:dyDescent="0.2">
      <c r="A1261" s="420" t="s">
        <v>439</v>
      </c>
      <c r="B1261" s="420" t="s">
        <v>350</v>
      </c>
      <c r="C1261" s="420" t="s">
        <v>39</v>
      </c>
      <c r="D1261" s="421">
        <v>0</v>
      </c>
      <c r="E1261" s="421">
        <v>0</v>
      </c>
      <c r="F1261" s="421">
        <v>0</v>
      </c>
      <c r="G1261" s="423">
        <f t="shared" si="370"/>
        <v>0</v>
      </c>
      <c r="H1261" s="422">
        <f>IF(G1251&gt;0,(G1261-G1251)/G1251,0)</f>
        <v>0</v>
      </c>
      <c r="I1261" s="423">
        <f t="shared" si="369"/>
        <v>0</v>
      </c>
    </row>
    <row r="1262" spans="1:9" x14ac:dyDescent="0.2">
      <c r="G1262" s="423">
        <f>SUM(G1255:G1261)</f>
        <v>1562570.24</v>
      </c>
      <c r="H1262" s="422">
        <f>IF(G1252&gt;0,(G1262-G1252)/G1252,0)</f>
        <v>5.1439009770790453E-2</v>
      </c>
      <c r="I1262" s="423">
        <f t="shared" si="369"/>
        <v>76444.820000000065</v>
      </c>
    </row>
    <row r="1264" spans="1:9" ht="15.75" x14ac:dyDescent="0.25">
      <c r="A1264" s="426">
        <v>45657</v>
      </c>
      <c r="B1264" s="424" t="s">
        <v>343</v>
      </c>
      <c r="C1264" s="424" t="s">
        <v>33</v>
      </c>
      <c r="D1264" s="424" t="s">
        <v>34</v>
      </c>
      <c r="E1264" s="424" t="s">
        <v>35</v>
      </c>
      <c r="F1264" s="424" t="s">
        <v>103</v>
      </c>
      <c r="G1264" s="425" t="s">
        <v>9</v>
      </c>
    </row>
    <row r="1265" spans="1:9" x14ac:dyDescent="0.2">
      <c r="A1265" s="420" t="s">
        <v>439</v>
      </c>
      <c r="B1265" s="420" t="s">
        <v>21</v>
      </c>
      <c r="C1265" s="420" t="s">
        <v>38</v>
      </c>
      <c r="D1265" s="423">
        <v>14.21</v>
      </c>
      <c r="E1265" s="423">
        <v>304.02</v>
      </c>
      <c r="F1265" s="423">
        <v>10117.98</v>
      </c>
      <c r="G1265" s="423">
        <f>SUM(D1265:F1265)</f>
        <v>10436.209999999999</v>
      </c>
      <c r="H1265" s="422">
        <f t="shared" ref="H1265:H1267" si="371">IF(G1255&gt;0,(G1265-G1255)/G1255,0)</f>
        <v>1.421114245686711E-3</v>
      </c>
      <c r="I1265" s="423">
        <f t="shared" ref="I1265:I1272" si="372">G1265-G1255</f>
        <v>14.809999999999491</v>
      </c>
    </row>
    <row r="1266" spans="1:9" x14ac:dyDescent="0.2">
      <c r="A1266" s="420" t="s">
        <v>439</v>
      </c>
      <c r="B1266" s="420" t="s">
        <v>351</v>
      </c>
      <c r="C1266" s="420" t="s">
        <v>38</v>
      </c>
      <c r="D1266" s="423">
        <v>0</v>
      </c>
      <c r="E1266" s="423">
        <v>0</v>
      </c>
      <c r="F1266" s="423">
        <v>0</v>
      </c>
      <c r="G1266" s="423">
        <f t="shared" ref="G1266:G1271" si="373">SUM(D1266:F1266)</f>
        <v>0</v>
      </c>
      <c r="H1266" s="422">
        <f t="shared" si="371"/>
        <v>0</v>
      </c>
      <c r="I1266" s="423">
        <f t="shared" si="372"/>
        <v>0</v>
      </c>
    </row>
    <row r="1267" spans="1:9" x14ac:dyDescent="0.2">
      <c r="A1267" s="420" t="s">
        <v>439</v>
      </c>
      <c r="B1267" s="420" t="s">
        <v>345</v>
      </c>
      <c r="C1267" s="420" t="s">
        <v>38</v>
      </c>
      <c r="D1267" s="423">
        <v>17263.669999999998</v>
      </c>
      <c r="E1267" s="423">
        <v>38111.58</v>
      </c>
      <c r="F1267" s="423">
        <v>274313.19</v>
      </c>
      <c r="G1267" s="423">
        <f t="shared" si="373"/>
        <v>329688.44</v>
      </c>
      <c r="H1267" s="422">
        <f t="shared" si="371"/>
        <v>1.701817645177648E-2</v>
      </c>
      <c r="I1267" s="423">
        <f t="shared" si="372"/>
        <v>5516.8099999999977</v>
      </c>
    </row>
    <row r="1268" spans="1:9" x14ac:dyDescent="0.2">
      <c r="A1268" s="420" t="s">
        <v>439</v>
      </c>
      <c r="B1268" s="420" t="s">
        <v>348</v>
      </c>
      <c r="C1268" s="420" t="s">
        <v>38</v>
      </c>
      <c r="D1268" s="423">
        <v>70176.66</v>
      </c>
      <c r="E1268" s="423">
        <v>75932.38</v>
      </c>
      <c r="F1268" s="423">
        <v>871425.6</v>
      </c>
      <c r="G1268" s="423">
        <f t="shared" si="373"/>
        <v>1017534.64</v>
      </c>
      <c r="H1268" s="422">
        <f>IF(G1258&gt;0,(G1268-G1258)/G1258,0)</f>
        <v>2.38017914764335E-2</v>
      </c>
      <c r="I1268" s="423">
        <f t="shared" si="372"/>
        <v>23656.090000000084</v>
      </c>
    </row>
    <row r="1269" spans="1:9" x14ac:dyDescent="0.2">
      <c r="A1269" s="420" t="s">
        <v>439</v>
      </c>
      <c r="B1269" s="420" t="s">
        <v>348</v>
      </c>
      <c r="C1269" s="420" t="s">
        <v>39</v>
      </c>
      <c r="D1269" s="423">
        <v>19996.310000000001</v>
      </c>
      <c r="E1269" s="423">
        <v>25495.14</v>
      </c>
      <c r="F1269" s="423">
        <v>96524.08</v>
      </c>
      <c r="G1269" s="423">
        <f t="shared" si="373"/>
        <v>142015.53</v>
      </c>
      <c r="H1269" s="422">
        <f>IF(G1259&gt;0,(G1269-G1259)/G1259,0)</f>
        <v>1.6100425534959505E-2</v>
      </c>
      <c r="I1269" s="423">
        <f t="shared" si="372"/>
        <v>2250.2799999999988</v>
      </c>
    </row>
    <row r="1270" spans="1:9" x14ac:dyDescent="0.2">
      <c r="A1270" s="420" t="s">
        <v>439</v>
      </c>
      <c r="B1270" s="420" t="s">
        <v>350</v>
      </c>
      <c r="C1270" s="420" t="s">
        <v>38</v>
      </c>
      <c r="D1270" s="423">
        <v>4599.55</v>
      </c>
      <c r="E1270" s="423">
        <v>24344.560000000001</v>
      </c>
      <c r="F1270" s="423">
        <v>65945.47</v>
      </c>
      <c r="G1270" s="423">
        <f t="shared" si="373"/>
        <v>94889.58</v>
      </c>
      <c r="H1270" s="422">
        <f>IF(G1260&gt;0,(G1270-G1260)/G1260,0)</f>
        <v>5.8957902613718536E-3</v>
      </c>
      <c r="I1270" s="423">
        <f t="shared" si="372"/>
        <v>556.16999999999825</v>
      </c>
    </row>
    <row r="1271" spans="1:9" x14ac:dyDescent="0.2">
      <c r="A1271" s="420" t="s">
        <v>439</v>
      </c>
      <c r="B1271" s="420" t="s">
        <v>350</v>
      </c>
      <c r="C1271" s="420" t="s">
        <v>39</v>
      </c>
      <c r="D1271" s="421">
        <v>0</v>
      </c>
      <c r="E1271" s="421">
        <v>0</v>
      </c>
      <c r="F1271" s="421">
        <v>0</v>
      </c>
      <c r="G1271" s="423">
        <f t="shared" si="373"/>
        <v>0</v>
      </c>
      <c r="H1271" s="422">
        <f>IF(G1261&gt;0,(G1271-G1261)/G1261,0)</f>
        <v>0</v>
      </c>
      <c r="I1271" s="423">
        <f t="shared" si="372"/>
        <v>0</v>
      </c>
    </row>
    <row r="1272" spans="1:9" x14ac:dyDescent="0.2">
      <c r="G1272" s="423">
        <f>SUM(G1265:G1271)</f>
        <v>1594564.4000000001</v>
      </c>
      <c r="H1272" s="422">
        <f>IF(G1262&gt;0,(G1272-G1262)/G1262,0)</f>
        <v>2.0475341959667777E-2</v>
      </c>
      <c r="I1272" s="423">
        <f t="shared" si="372"/>
        <v>31994.160000000149</v>
      </c>
    </row>
    <row r="1274" spans="1:9" ht="15.75" x14ac:dyDescent="0.25">
      <c r="A1274" s="426">
        <v>45688</v>
      </c>
      <c r="B1274" s="424" t="s">
        <v>343</v>
      </c>
      <c r="C1274" s="424" t="s">
        <v>33</v>
      </c>
      <c r="D1274" s="424" t="s">
        <v>34</v>
      </c>
      <c r="E1274" s="424" t="s">
        <v>35</v>
      </c>
      <c r="F1274" s="424" t="s">
        <v>103</v>
      </c>
      <c r="G1274" s="425" t="s">
        <v>9</v>
      </c>
    </row>
    <row r="1275" spans="1:9" x14ac:dyDescent="0.2">
      <c r="A1275" s="420" t="s">
        <v>439</v>
      </c>
      <c r="B1275" s="420" t="s">
        <v>21</v>
      </c>
      <c r="C1275" s="420" t="s">
        <v>38</v>
      </c>
      <c r="D1275" s="423">
        <v>257.42</v>
      </c>
      <c r="E1275" s="423">
        <v>10.45</v>
      </c>
      <c r="F1275" s="423">
        <v>8753.98</v>
      </c>
      <c r="G1275" s="423">
        <f>SUM(D1275:F1275)</f>
        <v>9021.85</v>
      </c>
      <c r="H1275" s="422">
        <f t="shared" ref="H1275:H1277" si="374">IF(G1265&gt;0,(G1275-G1265)/G1265,0)</f>
        <v>-0.13552429473918204</v>
      </c>
      <c r="I1275" s="423">
        <f t="shared" ref="I1275:I1282" si="375">G1275-G1265</f>
        <v>-1414.3599999999988</v>
      </c>
    </row>
    <row r="1276" spans="1:9" x14ac:dyDescent="0.2">
      <c r="A1276" s="420" t="s">
        <v>439</v>
      </c>
      <c r="B1276" s="420" t="s">
        <v>351</v>
      </c>
      <c r="C1276" s="420" t="s">
        <v>38</v>
      </c>
      <c r="D1276" s="423">
        <v>0</v>
      </c>
      <c r="E1276" s="423">
        <v>0</v>
      </c>
      <c r="F1276" s="423">
        <v>0</v>
      </c>
      <c r="G1276" s="423">
        <f t="shared" ref="G1276:G1281" si="376">SUM(D1276:F1276)</f>
        <v>0</v>
      </c>
      <c r="H1276" s="422">
        <f t="shared" si="374"/>
        <v>0</v>
      </c>
      <c r="I1276" s="423">
        <f t="shared" si="375"/>
        <v>0</v>
      </c>
    </row>
    <row r="1277" spans="1:9" x14ac:dyDescent="0.2">
      <c r="A1277" s="420" t="s">
        <v>439</v>
      </c>
      <c r="B1277" s="420" t="s">
        <v>345</v>
      </c>
      <c r="C1277" s="420" t="s">
        <v>38</v>
      </c>
      <c r="D1277" s="423">
        <v>23044.41</v>
      </c>
      <c r="E1277" s="423">
        <v>15511.98</v>
      </c>
      <c r="F1277" s="423">
        <v>304712.42</v>
      </c>
      <c r="G1277" s="423">
        <f t="shared" si="376"/>
        <v>343268.81</v>
      </c>
      <c r="H1277" s="422">
        <f t="shared" si="374"/>
        <v>4.1191526157241046E-2</v>
      </c>
      <c r="I1277" s="423">
        <f t="shared" si="375"/>
        <v>13580.369999999995</v>
      </c>
    </row>
    <row r="1278" spans="1:9" x14ac:dyDescent="0.2">
      <c r="A1278" s="420" t="s">
        <v>439</v>
      </c>
      <c r="B1278" s="420" t="s">
        <v>348</v>
      </c>
      <c r="C1278" s="420" t="s">
        <v>38</v>
      </c>
      <c r="D1278" s="423">
        <v>53573.18</v>
      </c>
      <c r="E1278" s="423">
        <v>55196.33</v>
      </c>
      <c r="F1278" s="423">
        <v>902735.01</v>
      </c>
      <c r="G1278" s="423">
        <f t="shared" si="376"/>
        <v>1011504.52</v>
      </c>
      <c r="H1278" s="422">
        <f>IF(G1268&gt;0,(G1278-G1268)/G1268,0)</f>
        <v>-5.9262061093074882E-3</v>
      </c>
      <c r="I1278" s="423">
        <f t="shared" si="375"/>
        <v>-6030.1199999999953</v>
      </c>
    </row>
    <row r="1279" spans="1:9" x14ac:dyDescent="0.2">
      <c r="A1279" s="420" t="s">
        <v>439</v>
      </c>
      <c r="B1279" s="420" t="s">
        <v>348</v>
      </c>
      <c r="C1279" s="420" t="s">
        <v>39</v>
      </c>
      <c r="D1279" s="423">
        <v>12784.1</v>
      </c>
      <c r="E1279" s="423">
        <v>15075.25</v>
      </c>
      <c r="F1279" s="423">
        <v>101384.98</v>
      </c>
      <c r="G1279" s="423">
        <f t="shared" si="376"/>
        <v>129244.32999999999</v>
      </c>
      <c r="H1279" s="422">
        <f>IF(G1269&gt;0,(G1279-G1269)/G1269,0)</f>
        <v>-8.9928193064519157E-2</v>
      </c>
      <c r="I1279" s="423">
        <f t="shared" si="375"/>
        <v>-12771.200000000012</v>
      </c>
    </row>
    <row r="1280" spans="1:9" x14ac:dyDescent="0.2">
      <c r="A1280" s="420" t="s">
        <v>439</v>
      </c>
      <c r="B1280" s="420" t="s">
        <v>350</v>
      </c>
      <c r="C1280" s="420" t="s">
        <v>38</v>
      </c>
      <c r="D1280" s="423">
        <v>1609.43</v>
      </c>
      <c r="E1280" s="423">
        <v>2441.5700000000002</v>
      </c>
      <c r="F1280" s="423">
        <v>77573.759999999995</v>
      </c>
      <c r="G1280" s="423">
        <f t="shared" si="376"/>
        <v>81624.759999999995</v>
      </c>
      <c r="H1280" s="422">
        <f>IF(G1270&gt;0,(G1280-G1270)/G1270,0)</f>
        <v>-0.13979216685330473</v>
      </c>
      <c r="I1280" s="423">
        <f t="shared" si="375"/>
        <v>-13264.820000000007</v>
      </c>
    </row>
    <row r="1281" spans="1:9" x14ac:dyDescent="0.2">
      <c r="A1281" s="420" t="s">
        <v>439</v>
      </c>
      <c r="B1281" s="420" t="s">
        <v>350</v>
      </c>
      <c r="C1281" s="420" t="s">
        <v>39</v>
      </c>
      <c r="D1281" s="421">
        <v>0</v>
      </c>
      <c r="E1281" s="421">
        <v>0</v>
      </c>
      <c r="F1281" s="421">
        <v>0</v>
      </c>
      <c r="G1281" s="423">
        <f t="shared" si="376"/>
        <v>0</v>
      </c>
      <c r="H1281" s="422">
        <f>IF(G1271&gt;0,(G1281-G1271)/G1271,0)</f>
        <v>0</v>
      </c>
      <c r="I1281" s="423">
        <f t="shared" si="375"/>
        <v>0</v>
      </c>
    </row>
    <row r="1282" spans="1:9" x14ac:dyDescent="0.2">
      <c r="G1282" s="423">
        <f>SUM(G1275:G1281)</f>
        <v>1574664.27</v>
      </c>
      <c r="H1282" s="422">
        <f>IF(G1272&gt;0,(G1282-G1272)/G1272,0)</f>
        <v>-1.2479978858176014E-2</v>
      </c>
      <c r="I1282" s="423">
        <f t="shared" si="375"/>
        <v>-19900.130000000121</v>
      </c>
    </row>
    <row r="1284" spans="1:9" ht="15.75" x14ac:dyDescent="0.25">
      <c r="A1284" s="426">
        <v>45716</v>
      </c>
      <c r="B1284" s="424" t="s">
        <v>343</v>
      </c>
      <c r="C1284" s="424" t="s">
        <v>33</v>
      </c>
      <c r="D1284" s="424" t="s">
        <v>34</v>
      </c>
      <c r="E1284" s="424" t="s">
        <v>35</v>
      </c>
      <c r="F1284" s="424" t="s">
        <v>103</v>
      </c>
      <c r="G1284" s="425" t="s">
        <v>9</v>
      </c>
    </row>
    <row r="1285" spans="1:9" x14ac:dyDescent="0.2">
      <c r="A1285" s="420" t="s">
        <v>439</v>
      </c>
      <c r="B1285" s="420" t="s">
        <v>21</v>
      </c>
      <c r="C1285" s="420" t="s">
        <v>38</v>
      </c>
      <c r="D1285" s="423">
        <v>4072.44</v>
      </c>
      <c r="E1285" s="423">
        <v>0.51</v>
      </c>
      <c r="F1285" s="423">
        <v>7745.7</v>
      </c>
      <c r="G1285" s="423">
        <f>SUM(D1285:F1285)</f>
        <v>11818.65</v>
      </c>
      <c r="H1285" s="422">
        <f t="shared" ref="H1285:H1287" si="377">IF(G1275&gt;0,(G1285-G1275)/G1275,0)</f>
        <v>0.31000293731330042</v>
      </c>
      <c r="I1285" s="423">
        <f t="shared" ref="I1285:I1292" si="378">G1285-G1275</f>
        <v>2796.7999999999993</v>
      </c>
    </row>
    <row r="1286" spans="1:9" x14ac:dyDescent="0.2">
      <c r="A1286" s="420" t="s">
        <v>439</v>
      </c>
      <c r="B1286" s="420" t="s">
        <v>351</v>
      </c>
      <c r="C1286" s="420" t="s">
        <v>38</v>
      </c>
      <c r="D1286" s="423">
        <v>0</v>
      </c>
      <c r="E1286" s="423">
        <v>0</v>
      </c>
      <c r="F1286" s="423">
        <v>0</v>
      </c>
      <c r="G1286" s="423">
        <f t="shared" ref="G1286:G1291" si="379">SUM(D1286:F1286)</f>
        <v>0</v>
      </c>
      <c r="H1286" s="422">
        <f t="shared" si="377"/>
        <v>0</v>
      </c>
      <c r="I1286" s="423">
        <f t="shared" si="378"/>
        <v>0</v>
      </c>
    </row>
    <row r="1287" spans="1:9" x14ac:dyDescent="0.2">
      <c r="A1287" s="420" t="s">
        <v>439</v>
      </c>
      <c r="B1287" s="420" t="s">
        <v>345</v>
      </c>
      <c r="C1287" s="420" t="s">
        <v>38</v>
      </c>
      <c r="D1287" s="423">
        <v>31918.69</v>
      </c>
      <c r="E1287" s="423">
        <v>15387.67</v>
      </c>
      <c r="F1287" s="423">
        <v>307060.24</v>
      </c>
      <c r="G1287" s="423">
        <f t="shared" si="379"/>
        <v>354366.6</v>
      </c>
      <c r="H1287" s="422">
        <f t="shared" si="377"/>
        <v>3.2329735987373799E-2</v>
      </c>
      <c r="I1287" s="423">
        <f t="shared" si="378"/>
        <v>11097.789999999979</v>
      </c>
    </row>
    <row r="1288" spans="1:9" x14ac:dyDescent="0.2">
      <c r="A1288" s="420" t="s">
        <v>439</v>
      </c>
      <c r="B1288" s="420" t="s">
        <v>348</v>
      </c>
      <c r="C1288" s="420" t="s">
        <v>38</v>
      </c>
      <c r="D1288" s="423">
        <v>96760.71</v>
      </c>
      <c r="E1288" s="423">
        <v>38710.550000000003</v>
      </c>
      <c r="F1288" s="423">
        <v>908488.54</v>
      </c>
      <c r="G1288" s="423">
        <f t="shared" si="379"/>
        <v>1043959.8</v>
      </c>
      <c r="H1288" s="422">
        <f>IF(G1278&gt;0,(G1288-G1278)/G1278,0)</f>
        <v>3.2086144311050661E-2</v>
      </c>
      <c r="I1288" s="423">
        <f t="shared" si="378"/>
        <v>32455.280000000028</v>
      </c>
    </row>
    <row r="1289" spans="1:9" x14ac:dyDescent="0.2">
      <c r="A1289" s="420" t="s">
        <v>439</v>
      </c>
      <c r="B1289" s="420" t="s">
        <v>348</v>
      </c>
      <c r="C1289" s="420" t="s">
        <v>39</v>
      </c>
      <c r="D1289" s="423">
        <v>24838.63</v>
      </c>
      <c r="E1289" s="423">
        <v>8373.66</v>
      </c>
      <c r="F1289" s="423">
        <v>99728.24</v>
      </c>
      <c r="G1289" s="423">
        <f t="shared" si="379"/>
        <v>132940.53</v>
      </c>
      <c r="H1289" s="422">
        <f>IF(G1279&gt;0,(G1289-G1279)/G1279,0)</f>
        <v>2.859854664417396E-2</v>
      </c>
      <c r="I1289" s="423">
        <f t="shared" si="378"/>
        <v>3696.2000000000116</v>
      </c>
    </row>
    <row r="1290" spans="1:9" x14ac:dyDescent="0.2">
      <c r="A1290" s="420" t="s">
        <v>439</v>
      </c>
      <c r="B1290" s="420" t="s">
        <v>350</v>
      </c>
      <c r="C1290" s="420" t="s">
        <v>38</v>
      </c>
      <c r="D1290" s="423">
        <v>16356.69</v>
      </c>
      <c r="E1290" s="423">
        <v>1473.54</v>
      </c>
      <c r="F1290" s="423">
        <v>69537</v>
      </c>
      <c r="G1290" s="423">
        <f t="shared" si="379"/>
        <v>87367.23</v>
      </c>
      <c r="H1290" s="422">
        <f>IF(G1280&gt;0,(G1290-G1280)/G1280,0)</f>
        <v>7.0352059840666017E-2</v>
      </c>
      <c r="I1290" s="423">
        <f t="shared" si="378"/>
        <v>5742.4700000000012</v>
      </c>
    </row>
    <row r="1291" spans="1:9" x14ac:dyDescent="0.2">
      <c r="A1291" s="420" t="s">
        <v>439</v>
      </c>
      <c r="B1291" s="420" t="s">
        <v>350</v>
      </c>
      <c r="C1291" s="420" t="s">
        <v>39</v>
      </c>
      <c r="D1291" s="421">
        <v>0</v>
      </c>
      <c r="E1291" s="421">
        <v>0</v>
      </c>
      <c r="F1291" s="421">
        <v>0</v>
      </c>
      <c r="G1291" s="423">
        <f t="shared" si="379"/>
        <v>0</v>
      </c>
      <c r="H1291" s="422">
        <f>IF(G1281&gt;0,(G1291-G1281)/G1281,0)</f>
        <v>0</v>
      </c>
      <c r="I1291" s="423">
        <f t="shared" si="378"/>
        <v>0</v>
      </c>
    </row>
    <row r="1292" spans="1:9" x14ac:dyDescent="0.2">
      <c r="G1292" s="423">
        <f>SUM(G1285:G1291)</f>
        <v>1630452.81</v>
      </c>
      <c r="H1292" s="422">
        <f>IF(G1282&gt;0,(G1292-G1282)/G1282,0)</f>
        <v>3.5428847318673226E-2</v>
      </c>
      <c r="I1292" s="423">
        <f t="shared" si="378"/>
        <v>55788.540000000037</v>
      </c>
    </row>
    <row r="1294" spans="1:9" ht="15.75" x14ac:dyDescent="0.25">
      <c r="A1294" s="426">
        <v>45747</v>
      </c>
      <c r="B1294" s="424" t="s">
        <v>343</v>
      </c>
      <c r="C1294" s="424" t="s">
        <v>33</v>
      </c>
      <c r="D1294" s="424" t="s">
        <v>34</v>
      </c>
      <c r="E1294" s="424" t="s">
        <v>35</v>
      </c>
      <c r="F1294" s="424" t="s">
        <v>103</v>
      </c>
      <c r="G1294" s="425" t="s">
        <v>9</v>
      </c>
    </row>
    <row r="1295" spans="1:9" x14ac:dyDescent="0.2">
      <c r="A1295" s="420" t="s">
        <v>439</v>
      </c>
      <c r="B1295" s="420" t="s">
        <v>21</v>
      </c>
      <c r="C1295" s="420" t="s">
        <v>38</v>
      </c>
      <c r="D1295" s="423">
        <v>736.58</v>
      </c>
      <c r="E1295" s="423">
        <v>2811.88</v>
      </c>
      <c r="F1295" s="423">
        <v>7263.51</v>
      </c>
      <c r="G1295" s="423">
        <f>SUM(D1295:F1295)</f>
        <v>10811.970000000001</v>
      </c>
      <c r="H1295" s="422">
        <f t="shared" ref="H1295:H1297" si="380">IF(G1285&gt;0,(G1295-G1285)/G1285,0)</f>
        <v>-8.5177241055450367E-2</v>
      </c>
      <c r="I1295" s="423">
        <f t="shared" ref="I1295:I1302" si="381">G1295-G1285</f>
        <v>-1006.6799999999985</v>
      </c>
    </row>
    <row r="1296" spans="1:9" x14ac:dyDescent="0.2">
      <c r="A1296" s="420" t="s">
        <v>439</v>
      </c>
      <c r="B1296" s="420" t="s">
        <v>351</v>
      </c>
      <c r="C1296" s="420" t="s">
        <v>38</v>
      </c>
      <c r="D1296" s="423">
        <v>0</v>
      </c>
      <c r="E1296" s="423">
        <v>0</v>
      </c>
      <c r="F1296" s="423">
        <v>0</v>
      </c>
      <c r="G1296" s="423">
        <f t="shared" ref="G1296:G1301" si="382">SUM(D1296:F1296)</f>
        <v>0</v>
      </c>
      <c r="H1296" s="422">
        <f t="shared" si="380"/>
        <v>0</v>
      </c>
      <c r="I1296" s="423">
        <f t="shared" si="381"/>
        <v>0</v>
      </c>
    </row>
    <row r="1297" spans="1:9" x14ac:dyDescent="0.2">
      <c r="A1297" s="420" t="s">
        <v>439</v>
      </c>
      <c r="B1297" s="420" t="s">
        <v>345</v>
      </c>
      <c r="C1297" s="420" t="s">
        <v>38</v>
      </c>
      <c r="D1297" s="423">
        <v>30045.97</v>
      </c>
      <c r="E1297" s="423">
        <v>27594.400000000001</v>
      </c>
      <c r="F1297" s="423">
        <v>309623.58</v>
      </c>
      <c r="G1297" s="423">
        <f t="shared" si="382"/>
        <v>367263.95</v>
      </c>
      <c r="H1297" s="422">
        <f t="shared" si="380"/>
        <v>3.6395501156147432E-2</v>
      </c>
      <c r="I1297" s="423">
        <f t="shared" si="381"/>
        <v>12897.350000000035</v>
      </c>
    </row>
    <row r="1298" spans="1:9" x14ac:dyDescent="0.2">
      <c r="A1298" s="420" t="s">
        <v>439</v>
      </c>
      <c r="B1298" s="420" t="s">
        <v>348</v>
      </c>
      <c r="C1298" s="420" t="s">
        <v>38</v>
      </c>
      <c r="D1298" s="423">
        <v>81758.710000000006</v>
      </c>
      <c r="E1298" s="423">
        <v>74701.95</v>
      </c>
      <c r="F1298" s="423">
        <v>908581.15</v>
      </c>
      <c r="G1298" s="423">
        <f t="shared" si="382"/>
        <v>1065041.81</v>
      </c>
      <c r="H1298" s="422">
        <f>IF(G1288&gt;0,(G1298-G1288)/G1288,0)</f>
        <v>2.0194273764181349E-2</v>
      </c>
      <c r="I1298" s="423">
        <f t="shared" si="381"/>
        <v>21082.010000000009</v>
      </c>
    </row>
    <row r="1299" spans="1:9" x14ac:dyDescent="0.2">
      <c r="A1299" s="420" t="s">
        <v>439</v>
      </c>
      <c r="B1299" s="420" t="s">
        <v>348</v>
      </c>
      <c r="C1299" s="420" t="s">
        <v>39</v>
      </c>
      <c r="D1299" s="423">
        <v>22130.5</v>
      </c>
      <c r="E1299" s="423">
        <v>18893.88</v>
      </c>
      <c r="F1299" s="423">
        <v>89045.09</v>
      </c>
      <c r="G1299" s="423">
        <f t="shared" si="382"/>
        <v>130069.47</v>
      </c>
      <c r="H1299" s="422">
        <f>IF(G1289&gt;0,(G1299-G1289)/G1289,0)</f>
        <v>-2.1596574047056963E-2</v>
      </c>
      <c r="I1299" s="423">
        <f t="shared" si="381"/>
        <v>-2871.0599999999977</v>
      </c>
    </row>
    <row r="1300" spans="1:9" x14ac:dyDescent="0.2">
      <c r="A1300" s="420" t="s">
        <v>439</v>
      </c>
      <c r="B1300" s="420" t="s">
        <v>350</v>
      </c>
      <c r="C1300" s="420" t="s">
        <v>38</v>
      </c>
      <c r="D1300" s="423">
        <v>3920.23</v>
      </c>
      <c r="E1300" s="423">
        <v>14056.1</v>
      </c>
      <c r="F1300" s="423">
        <v>70480.33</v>
      </c>
      <c r="G1300" s="423">
        <f t="shared" si="382"/>
        <v>88456.66</v>
      </c>
      <c r="H1300" s="422">
        <f>IF(G1290&gt;0,(G1300-G1290)/G1290,0)</f>
        <v>1.2469549509581655E-2</v>
      </c>
      <c r="I1300" s="423">
        <f t="shared" si="381"/>
        <v>1089.4300000000076</v>
      </c>
    </row>
    <row r="1301" spans="1:9" x14ac:dyDescent="0.2">
      <c r="A1301" s="420" t="s">
        <v>439</v>
      </c>
      <c r="B1301" s="420" t="s">
        <v>350</v>
      </c>
      <c r="C1301" s="420" t="s">
        <v>39</v>
      </c>
      <c r="D1301" s="421">
        <v>0</v>
      </c>
      <c r="E1301" s="421">
        <v>0</v>
      </c>
      <c r="F1301" s="421">
        <v>0</v>
      </c>
      <c r="G1301" s="423">
        <f t="shared" si="382"/>
        <v>0</v>
      </c>
      <c r="H1301" s="422">
        <f>IF(G1291&gt;0,(G1301-G1291)/G1291,0)</f>
        <v>0</v>
      </c>
      <c r="I1301" s="423">
        <f t="shared" si="381"/>
        <v>0</v>
      </c>
    </row>
    <row r="1302" spans="1:9" x14ac:dyDescent="0.2">
      <c r="G1302" s="423">
        <f>SUM(G1295:G1301)</f>
        <v>1661643.8599999999</v>
      </c>
      <c r="H1302" s="422">
        <f>IF(G1292&gt;0,(G1302-G1292)/G1292,0)</f>
        <v>1.9130299146774946E-2</v>
      </c>
      <c r="I1302" s="423">
        <f t="shared" si="381"/>
        <v>31191.049999999814</v>
      </c>
    </row>
    <row r="1304" spans="1:9" ht="15.75" x14ac:dyDescent="0.25">
      <c r="A1304" s="426">
        <v>45777</v>
      </c>
      <c r="B1304" s="424" t="s">
        <v>343</v>
      </c>
      <c r="C1304" s="424" t="s">
        <v>33</v>
      </c>
      <c r="D1304" s="424" t="s">
        <v>34</v>
      </c>
      <c r="E1304" s="424" t="s">
        <v>35</v>
      </c>
      <c r="F1304" s="424" t="s">
        <v>103</v>
      </c>
      <c r="G1304" s="425" t="s">
        <v>9</v>
      </c>
    </row>
    <row r="1305" spans="1:9" x14ac:dyDescent="0.2">
      <c r="A1305" s="420" t="s">
        <v>439</v>
      </c>
      <c r="B1305" s="420" t="s">
        <v>21</v>
      </c>
      <c r="C1305" s="420" t="s">
        <v>38</v>
      </c>
      <c r="D1305" s="423">
        <v>1535.6</v>
      </c>
      <c r="E1305" s="423">
        <v>730.32</v>
      </c>
      <c r="F1305" s="423">
        <v>5194.53</v>
      </c>
      <c r="G1305" s="423">
        <f>SUM(D1305:F1305)</f>
        <v>7460.45</v>
      </c>
      <c r="H1305" s="422">
        <f t="shared" ref="H1305:H1307" si="383">IF(G1295&gt;0,(G1305-G1295)/G1295,0)</f>
        <v>-0.30998236214121949</v>
      </c>
      <c r="I1305" s="423">
        <f t="shared" ref="I1305:I1312" si="384">G1305-G1295</f>
        <v>-3351.5200000000013</v>
      </c>
    </row>
    <row r="1306" spans="1:9" x14ac:dyDescent="0.2">
      <c r="A1306" s="420" t="s">
        <v>439</v>
      </c>
      <c r="B1306" s="420" t="s">
        <v>351</v>
      </c>
      <c r="C1306" s="420" t="s">
        <v>38</v>
      </c>
      <c r="D1306" s="423">
        <v>457.29</v>
      </c>
      <c r="E1306" s="423">
        <v>0</v>
      </c>
      <c r="F1306" s="423">
        <v>0</v>
      </c>
      <c r="G1306" s="423">
        <f t="shared" ref="G1306:G1311" si="385">SUM(D1306:F1306)</f>
        <v>457.29</v>
      </c>
      <c r="H1306" s="422">
        <f t="shared" si="383"/>
        <v>0</v>
      </c>
      <c r="I1306" s="423">
        <f t="shared" si="384"/>
        <v>457.29</v>
      </c>
    </row>
    <row r="1307" spans="1:9" x14ac:dyDescent="0.2">
      <c r="A1307" s="420" t="s">
        <v>439</v>
      </c>
      <c r="B1307" s="420" t="s">
        <v>345</v>
      </c>
      <c r="C1307" s="420" t="s">
        <v>38</v>
      </c>
      <c r="D1307" s="423">
        <v>23027</v>
      </c>
      <c r="E1307" s="423">
        <v>23888.65</v>
      </c>
      <c r="F1307" s="423">
        <v>311765.18</v>
      </c>
      <c r="G1307" s="423">
        <f t="shared" si="385"/>
        <v>358680.83</v>
      </c>
      <c r="H1307" s="422">
        <f t="shared" si="383"/>
        <v>-2.3370439706919221E-2</v>
      </c>
      <c r="I1307" s="423">
        <f t="shared" si="384"/>
        <v>-8583.1199999999953</v>
      </c>
    </row>
    <row r="1308" spans="1:9" x14ac:dyDescent="0.2">
      <c r="A1308" s="420" t="s">
        <v>439</v>
      </c>
      <c r="B1308" s="420" t="s">
        <v>348</v>
      </c>
      <c r="C1308" s="420" t="s">
        <v>38</v>
      </c>
      <c r="D1308" s="423">
        <v>58974.239999999998</v>
      </c>
      <c r="E1308" s="423">
        <v>58366.27</v>
      </c>
      <c r="F1308" s="423">
        <v>912284.95</v>
      </c>
      <c r="G1308" s="423">
        <f t="shared" si="385"/>
        <v>1029625.46</v>
      </c>
      <c r="H1308" s="422">
        <f>IF(G1298&gt;0,(G1308-G1298)/G1298,0)</f>
        <v>-3.3253483259967132E-2</v>
      </c>
      <c r="I1308" s="423">
        <f t="shared" si="384"/>
        <v>-35416.350000000093</v>
      </c>
    </row>
    <row r="1309" spans="1:9" x14ac:dyDescent="0.2">
      <c r="A1309" s="420" t="s">
        <v>439</v>
      </c>
      <c r="B1309" s="420" t="s">
        <v>348</v>
      </c>
      <c r="C1309" s="420" t="s">
        <v>39</v>
      </c>
      <c r="D1309" s="423">
        <v>11717.27</v>
      </c>
      <c r="E1309" s="423">
        <v>16151.84</v>
      </c>
      <c r="F1309" s="423">
        <v>93982.03</v>
      </c>
      <c r="G1309" s="423">
        <f t="shared" si="385"/>
        <v>121851.14</v>
      </c>
      <c r="H1309" s="422">
        <f>IF(G1299&gt;0,(G1309-G1299)/G1299,0)</f>
        <v>-6.3184158434719556E-2</v>
      </c>
      <c r="I1309" s="423">
        <f t="shared" si="384"/>
        <v>-8218.3300000000017</v>
      </c>
    </row>
    <row r="1310" spans="1:9" x14ac:dyDescent="0.2">
      <c r="A1310" s="420" t="s">
        <v>439</v>
      </c>
      <c r="B1310" s="420" t="s">
        <v>350</v>
      </c>
      <c r="C1310" s="420" t="s">
        <v>38</v>
      </c>
      <c r="D1310" s="423">
        <v>1260.55</v>
      </c>
      <c r="E1310" s="423">
        <v>2838.49</v>
      </c>
      <c r="F1310" s="423">
        <v>79434.95</v>
      </c>
      <c r="G1310" s="423">
        <f t="shared" si="385"/>
        <v>83533.989999999991</v>
      </c>
      <c r="H1310" s="422">
        <f>IF(G1300&gt;0,(G1310-G1300)/G1300,0)</f>
        <v>-5.5650642925021275E-2</v>
      </c>
      <c r="I1310" s="423">
        <f t="shared" si="384"/>
        <v>-4922.6700000000128</v>
      </c>
    </row>
    <row r="1311" spans="1:9" x14ac:dyDescent="0.2">
      <c r="A1311" s="420" t="s">
        <v>439</v>
      </c>
      <c r="B1311" s="420" t="s">
        <v>350</v>
      </c>
      <c r="C1311" s="420" t="s">
        <v>39</v>
      </c>
      <c r="D1311" s="421">
        <v>0</v>
      </c>
      <c r="E1311" s="421">
        <v>0</v>
      </c>
      <c r="F1311" s="421">
        <v>0</v>
      </c>
      <c r="G1311" s="423">
        <f t="shared" si="385"/>
        <v>0</v>
      </c>
      <c r="H1311" s="422">
        <f>IF(G1301&gt;0,(G1311-G1301)/G1301,0)</f>
        <v>0</v>
      </c>
      <c r="I1311" s="423">
        <f t="shared" si="384"/>
        <v>0</v>
      </c>
    </row>
    <row r="1312" spans="1:9" x14ac:dyDescent="0.2">
      <c r="G1312" s="423">
        <f>SUM(G1305:G1311)</f>
        <v>1601609.16</v>
      </c>
      <c r="H1312" s="422">
        <f>IF(G1302&gt;0,(G1312-G1302)/G1302,0)</f>
        <v>-3.6129703509390973E-2</v>
      </c>
      <c r="I1312" s="423">
        <f t="shared" si="384"/>
        <v>-60034.699999999953</v>
      </c>
    </row>
    <row r="1314" spans="1:9" ht="15.75" x14ac:dyDescent="0.25">
      <c r="A1314" s="426">
        <v>45808</v>
      </c>
      <c r="B1314" s="424" t="s">
        <v>343</v>
      </c>
      <c r="C1314" s="424" t="s">
        <v>33</v>
      </c>
      <c r="D1314" s="424" t="s">
        <v>34</v>
      </c>
      <c r="E1314" s="424" t="s">
        <v>35</v>
      </c>
      <c r="F1314" s="424" t="s">
        <v>103</v>
      </c>
      <c r="G1314" s="425" t="s">
        <v>9</v>
      </c>
    </row>
    <row r="1315" spans="1:9" x14ac:dyDescent="0.2">
      <c r="A1315" s="420" t="s">
        <v>439</v>
      </c>
      <c r="B1315" s="420" t="s">
        <v>21</v>
      </c>
      <c r="C1315" s="420" t="s">
        <v>38</v>
      </c>
      <c r="D1315" s="423">
        <v>2156.9</v>
      </c>
      <c r="E1315" s="423">
        <v>1261.6500000000001</v>
      </c>
      <c r="F1315" s="423">
        <v>5929.24</v>
      </c>
      <c r="G1315" s="423">
        <f>SUM(D1315:F1315)</f>
        <v>9347.7900000000009</v>
      </c>
      <c r="H1315" s="422">
        <f t="shared" ref="H1315:H1317" si="386">IF(G1305&gt;0,(G1315-G1305)/G1305,0)</f>
        <v>0.25297937791956265</v>
      </c>
      <c r="I1315" s="423">
        <f t="shared" ref="I1315:I1322" si="387">G1315-G1305</f>
        <v>1887.3400000000011</v>
      </c>
    </row>
    <row r="1316" spans="1:9" x14ac:dyDescent="0.2">
      <c r="A1316" s="420" t="s">
        <v>439</v>
      </c>
      <c r="B1316" s="420" t="s">
        <v>351</v>
      </c>
      <c r="C1316" s="420" t="s">
        <v>38</v>
      </c>
      <c r="D1316" s="423">
        <v>0</v>
      </c>
      <c r="E1316" s="423">
        <v>0</v>
      </c>
      <c r="F1316" s="423">
        <v>0</v>
      </c>
      <c r="G1316" s="423">
        <f t="shared" ref="G1316:G1321" si="388">SUM(D1316:F1316)</f>
        <v>0</v>
      </c>
      <c r="H1316" s="422">
        <f t="shared" si="386"/>
        <v>-1</v>
      </c>
      <c r="I1316" s="423">
        <f t="shared" si="387"/>
        <v>-457.29</v>
      </c>
    </row>
    <row r="1317" spans="1:9" x14ac:dyDescent="0.2">
      <c r="A1317" s="420" t="s">
        <v>439</v>
      </c>
      <c r="B1317" s="420" t="s">
        <v>345</v>
      </c>
      <c r="C1317" s="420" t="s">
        <v>38</v>
      </c>
      <c r="D1317" s="423">
        <v>24231.06</v>
      </c>
      <c r="E1317" s="423">
        <v>21819.93</v>
      </c>
      <c r="F1317" s="423">
        <v>323528.24</v>
      </c>
      <c r="G1317" s="423">
        <f t="shared" si="388"/>
        <v>369579.23</v>
      </c>
      <c r="H1317" s="422">
        <f t="shared" si="386"/>
        <v>3.0384673750197256E-2</v>
      </c>
      <c r="I1317" s="423">
        <f t="shared" si="387"/>
        <v>10898.399999999965</v>
      </c>
    </row>
    <row r="1318" spans="1:9" x14ac:dyDescent="0.2">
      <c r="A1318" s="420" t="s">
        <v>439</v>
      </c>
      <c r="B1318" s="420" t="s">
        <v>348</v>
      </c>
      <c r="C1318" s="420" t="s">
        <v>38</v>
      </c>
      <c r="D1318" s="423">
        <v>99691.61</v>
      </c>
      <c r="E1318" s="423">
        <v>42503.53</v>
      </c>
      <c r="F1318" s="423">
        <v>913406.23</v>
      </c>
      <c r="G1318" s="423">
        <f t="shared" si="388"/>
        <v>1055601.3700000001</v>
      </c>
      <c r="H1318" s="422">
        <f>IF(G1308&gt;0,(G1318-G1308)/G1308,0)</f>
        <v>2.5228503964927353E-2</v>
      </c>
      <c r="I1318" s="423">
        <f t="shared" si="387"/>
        <v>25975.910000000149</v>
      </c>
    </row>
    <row r="1319" spans="1:9" x14ac:dyDescent="0.2">
      <c r="A1319" s="420" t="s">
        <v>439</v>
      </c>
      <c r="B1319" s="420" t="s">
        <v>348</v>
      </c>
      <c r="C1319" s="420" t="s">
        <v>39</v>
      </c>
      <c r="D1319" s="423">
        <v>34115.07</v>
      </c>
      <c r="E1319" s="423">
        <v>8146.27</v>
      </c>
      <c r="F1319" s="423">
        <v>94431.37</v>
      </c>
      <c r="G1319" s="423">
        <f t="shared" si="388"/>
        <v>136692.71</v>
      </c>
      <c r="H1319" s="422">
        <f>IF(G1309&gt;0,(G1319-G1309)/G1309,0)</f>
        <v>0.12180083009481892</v>
      </c>
      <c r="I1319" s="423">
        <f t="shared" si="387"/>
        <v>14841.569999999992</v>
      </c>
    </row>
    <row r="1320" spans="1:9" x14ac:dyDescent="0.2">
      <c r="A1320" s="420" t="s">
        <v>439</v>
      </c>
      <c r="B1320" s="420" t="s">
        <v>350</v>
      </c>
      <c r="C1320" s="420" t="s">
        <v>38</v>
      </c>
      <c r="D1320" s="423">
        <v>53653.26</v>
      </c>
      <c r="E1320" s="423">
        <v>645.07000000000005</v>
      </c>
      <c r="F1320" s="423">
        <v>81649.66</v>
      </c>
      <c r="G1320" s="423">
        <f t="shared" si="388"/>
        <v>135947.99</v>
      </c>
      <c r="H1320" s="422">
        <f>IF(G1310&gt;0,(G1320-G1310)/G1310,0)</f>
        <v>0.62745715845729388</v>
      </c>
      <c r="I1320" s="423">
        <f t="shared" si="387"/>
        <v>52414</v>
      </c>
    </row>
    <row r="1321" spans="1:9" x14ac:dyDescent="0.2">
      <c r="A1321" s="420" t="s">
        <v>439</v>
      </c>
      <c r="B1321" s="420" t="s">
        <v>350</v>
      </c>
      <c r="C1321" s="420" t="s">
        <v>39</v>
      </c>
      <c r="D1321" s="421">
        <v>0</v>
      </c>
      <c r="E1321" s="421">
        <v>0</v>
      </c>
      <c r="F1321" s="421">
        <v>0</v>
      </c>
      <c r="G1321" s="423">
        <f t="shared" si="388"/>
        <v>0</v>
      </c>
      <c r="H1321" s="422">
        <f>IF(G1311&gt;0,(G1321-G1311)/G1311,0)</f>
        <v>0</v>
      </c>
      <c r="I1321" s="423">
        <f t="shared" si="387"/>
        <v>0</v>
      </c>
    </row>
    <row r="1322" spans="1:9" x14ac:dyDescent="0.2">
      <c r="G1322" s="423">
        <f>SUM(G1315:G1321)</f>
        <v>1707169.09</v>
      </c>
      <c r="H1322" s="422">
        <f>IF(G1312&gt;0,(G1322-G1312)/G1312,0)</f>
        <v>6.5908670252610296E-2</v>
      </c>
      <c r="I1322" s="423">
        <f t="shared" si="387"/>
        <v>105559.93000000017</v>
      </c>
    </row>
    <row r="1324" spans="1:9" ht="15.75" x14ac:dyDescent="0.25">
      <c r="A1324" s="426">
        <v>45838</v>
      </c>
      <c r="B1324" s="424" t="s">
        <v>343</v>
      </c>
      <c r="C1324" s="424" t="s">
        <v>33</v>
      </c>
      <c r="D1324" s="424" t="s">
        <v>34</v>
      </c>
      <c r="E1324" s="424" t="s">
        <v>35</v>
      </c>
      <c r="F1324" s="424" t="s">
        <v>103</v>
      </c>
      <c r="G1324" s="425" t="s">
        <v>9</v>
      </c>
    </row>
    <row r="1325" spans="1:9" x14ac:dyDescent="0.2">
      <c r="A1325" s="420" t="s">
        <v>439</v>
      </c>
      <c r="B1325" s="420" t="s">
        <v>21</v>
      </c>
      <c r="C1325" s="420" t="s">
        <v>38</v>
      </c>
      <c r="D1325" s="423">
        <v>5937.63</v>
      </c>
      <c r="E1325" s="423">
        <v>2170.1799999999998</v>
      </c>
      <c r="F1325" s="423">
        <v>6200.91</v>
      </c>
      <c r="G1325" s="423">
        <f>SUM(D1325:F1325)</f>
        <v>14308.72</v>
      </c>
      <c r="H1325" s="422">
        <f t="shared" ref="H1325:H1327" si="389">IF(G1315&gt;0,(G1325-G1315)/G1315,0)</f>
        <v>0.53070618830761052</v>
      </c>
      <c r="I1325" s="423">
        <f t="shared" ref="I1325:I1332" si="390">G1325-G1315</f>
        <v>4960.9299999999985</v>
      </c>
    </row>
    <row r="1326" spans="1:9" x14ac:dyDescent="0.2">
      <c r="A1326" s="420" t="s">
        <v>439</v>
      </c>
      <c r="B1326" s="420" t="s">
        <v>351</v>
      </c>
      <c r="C1326" s="420" t="s">
        <v>38</v>
      </c>
      <c r="D1326" s="423">
        <v>0</v>
      </c>
      <c r="E1326" s="423">
        <v>0</v>
      </c>
      <c r="F1326" s="423">
        <v>0</v>
      </c>
      <c r="G1326" s="423">
        <f t="shared" ref="G1326:G1331" si="391">SUM(D1326:F1326)</f>
        <v>0</v>
      </c>
      <c r="H1326" s="422">
        <f t="shared" si="389"/>
        <v>0</v>
      </c>
      <c r="I1326" s="423">
        <f t="shared" si="390"/>
        <v>0</v>
      </c>
    </row>
    <row r="1327" spans="1:9" x14ac:dyDescent="0.2">
      <c r="A1327" s="420" t="s">
        <v>439</v>
      </c>
      <c r="B1327" s="420" t="s">
        <v>345</v>
      </c>
      <c r="C1327" s="420" t="s">
        <v>38</v>
      </c>
      <c r="D1327" s="423">
        <v>47865.49</v>
      </c>
      <c r="E1327" s="423">
        <v>18355.13</v>
      </c>
      <c r="F1327" s="423">
        <v>319880.68</v>
      </c>
      <c r="G1327" s="423">
        <f t="shared" si="391"/>
        <v>386101.3</v>
      </c>
      <c r="H1327" s="422">
        <f t="shared" si="389"/>
        <v>4.4705082588109749E-2</v>
      </c>
      <c r="I1327" s="423">
        <f t="shared" si="390"/>
        <v>16522.070000000007</v>
      </c>
    </row>
    <row r="1328" spans="1:9" x14ac:dyDescent="0.2">
      <c r="A1328" s="420" t="s">
        <v>439</v>
      </c>
      <c r="B1328" s="420" t="s">
        <v>348</v>
      </c>
      <c r="C1328" s="420" t="s">
        <v>38</v>
      </c>
      <c r="D1328" s="423">
        <v>79992.69</v>
      </c>
      <c r="E1328" s="423">
        <v>76248.58</v>
      </c>
      <c r="F1328" s="423">
        <v>919601.46</v>
      </c>
      <c r="G1328" s="423">
        <f t="shared" si="391"/>
        <v>1075842.73</v>
      </c>
      <c r="H1328" s="422">
        <f>IF(G1318&gt;0,(G1328-G1318)/G1318,0)</f>
        <v>1.917519299922836E-2</v>
      </c>
      <c r="I1328" s="423">
        <f t="shared" si="390"/>
        <v>20241.35999999987</v>
      </c>
    </row>
    <row r="1329" spans="1:9" x14ac:dyDescent="0.2">
      <c r="A1329" s="420" t="s">
        <v>439</v>
      </c>
      <c r="B1329" s="420" t="s">
        <v>348</v>
      </c>
      <c r="C1329" s="420" t="s">
        <v>39</v>
      </c>
      <c r="D1329" s="423">
        <v>23158.46</v>
      </c>
      <c r="E1329" s="423">
        <v>28285.29</v>
      </c>
      <c r="F1329" s="423">
        <v>88395.04</v>
      </c>
      <c r="G1329" s="423">
        <f t="shared" si="391"/>
        <v>139838.78999999998</v>
      </c>
      <c r="H1329" s="422">
        <f>IF(G1319&gt;0,(G1329-G1319)/G1319,0)</f>
        <v>2.3015711664506375E-2</v>
      </c>
      <c r="I1329" s="423">
        <f t="shared" si="390"/>
        <v>3146.0799999999872</v>
      </c>
    </row>
    <row r="1330" spans="1:9" x14ac:dyDescent="0.2">
      <c r="A1330" s="420" t="s">
        <v>439</v>
      </c>
      <c r="B1330" s="420" t="s">
        <v>350</v>
      </c>
      <c r="C1330" s="420" t="s">
        <v>38</v>
      </c>
      <c r="D1330" s="423">
        <v>22047.18</v>
      </c>
      <c r="E1330" s="423">
        <v>28449.919999999998</v>
      </c>
      <c r="F1330" s="423">
        <v>81576.899999999994</v>
      </c>
      <c r="G1330" s="423">
        <f t="shared" si="391"/>
        <v>132074</v>
      </c>
      <c r="H1330" s="422">
        <f>IF(G1320&gt;0,(G1330-G1320)/G1320,0)</f>
        <v>-2.8496118258166163E-2</v>
      </c>
      <c r="I1330" s="423">
        <f t="shared" si="390"/>
        <v>-3873.9899999999907</v>
      </c>
    </row>
    <row r="1331" spans="1:9" x14ac:dyDescent="0.2">
      <c r="A1331" s="420" t="s">
        <v>439</v>
      </c>
      <c r="B1331" s="420" t="s">
        <v>350</v>
      </c>
      <c r="C1331" s="420" t="s">
        <v>39</v>
      </c>
      <c r="D1331" s="421">
        <v>0</v>
      </c>
      <c r="E1331" s="421">
        <v>0</v>
      </c>
      <c r="F1331" s="421">
        <v>0</v>
      </c>
      <c r="G1331" s="423">
        <f t="shared" si="391"/>
        <v>0</v>
      </c>
      <c r="H1331" s="422">
        <f>IF(G1321&gt;0,(G1331-G1321)/G1321,0)</f>
        <v>0</v>
      </c>
      <c r="I1331" s="423">
        <f t="shared" si="390"/>
        <v>0</v>
      </c>
    </row>
    <row r="1332" spans="1:9" x14ac:dyDescent="0.2">
      <c r="G1332" s="423">
        <f>SUM(G1325:G1331)</f>
        <v>1748165.54</v>
      </c>
      <c r="H1332" s="422">
        <f>IF(G1322&gt;0,(G1332-G1322)/G1322,0)</f>
        <v>2.4014287887557731E-2</v>
      </c>
      <c r="I1332" s="423">
        <f t="shared" si="390"/>
        <v>40996.449999999953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4F28-0818-49F4-8038-732ACBE0EFD8}">
  <dimension ref="A1:G23"/>
  <sheetViews>
    <sheetView zoomScale="130" zoomScaleNormal="130" workbookViewId="0">
      <selection activeCell="F18" sqref="F18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439</v>
      </c>
      <c r="B8" s="340" t="s">
        <v>38</v>
      </c>
      <c r="C8" s="340" t="s">
        <v>3</v>
      </c>
      <c r="D8" s="342">
        <v>0</v>
      </c>
      <c r="E8" s="342">
        <v>20</v>
      </c>
      <c r="F8" s="342">
        <v>2484.75</v>
      </c>
    </row>
    <row r="9" spans="1:7" x14ac:dyDescent="0.25">
      <c r="A9" s="340" t="s">
        <v>439</v>
      </c>
      <c r="B9" s="340" t="s">
        <v>38</v>
      </c>
      <c r="C9" s="340" t="s">
        <v>323</v>
      </c>
      <c r="D9" s="342">
        <v>736.58</v>
      </c>
      <c r="E9" s="342">
        <v>2811.88</v>
      </c>
      <c r="F9" s="342">
        <v>7263.51</v>
      </c>
    </row>
    <row r="10" spans="1:7" x14ac:dyDescent="0.25">
      <c r="A10" s="340" t="s">
        <v>439</v>
      </c>
      <c r="B10" s="340" t="s">
        <v>38</v>
      </c>
      <c r="C10" s="340" t="s">
        <v>41</v>
      </c>
      <c r="D10" s="342">
        <v>115724.91</v>
      </c>
      <c r="E10" s="342">
        <v>116332.45</v>
      </c>
      <c r="F10" s="342">
        <v>1286200.31</v>
      </c>
    </row>
    <row r="11" spans="1:7" x14ac:dyDescent="0.25">
      <c r="A11" s="340" t="s">
        <v>439</v>
      </c>
      <c r="B11" s="340" t="s">
        <v>39</v>
      </c>
      <c r="C11" s="340" t="s">
        <v>41</v>
      </c>
      <c r="D11" s="342">
        <v>22130.5</v>
      </c>
      <c r="E11" s="342">
        <v>18893.88</v>
      </c>
      <c r="F11" s="342">
        <v>89045.09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1518257.67</v>
      </c>
      <c r="E14" s="390"/>
      <c r="F14" s="417"/>
    </row>
    <row r="15" spans="1:7" x14ac:dyDescent="0.25">
      <c r="A15" s="336" t="s">
        <v>39</v>
      </c>
      <c r="B15" s="415">
        <f>SUM(D11:F11)</f>
        <v>130069.47</v>
      </c>
    </row>
    <row r="16" spans="1:7" x14ac:dyDescent="0.25">
      <c r="A16" s="336" t="s">
        <v>2</v>
      </c>
      <c r="B16" s="415">
        <f>SUM(D9:F9)</f>
        <v>10811.970000000001</v>
      </c>
    </row>
    <row r="17" spans="1:6" x14ac:dyDescent="0.25">
      <c r="A17" s="336" t="s">
        <v>3</v>
      </c>
      <c r="B17" s="415">
        <f>SUM(D8:F8)</f>
        <v>2504.75</v>
      </c>
    </row>
    <row r="18" spans="1:6" ht="15.75" thickBot="1" x14ac:dyDescent="0.3">
      <c r="A18" s="361"/>
      <c r="B18" s="416">
        <f>SUM(B14:B17)</f>
        <v>1661643.8599999999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G23"/>
  <sheetViews>
    <sheetView zoomScale="130" zoomScaleNormal="130" workbookViewId="0">
      <selection activeCell="B14" sqref="B14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397</v>
      </c>
      <c r="B8" s="340" t="s">
        <v>38</v>
      </c>
      <c r="C8" s="340" t="s">
        <v>3</v>
      </c>
      <c r="D8" s="342">
        <v>0</v>
      </c>
      <c r="E8" s="342">
        <v>0</v>
      </c>
      <c r="F8" s="342">
        <v>7061.02</v>
      </c>
    </row>
    <row r="9" spans="1:7" x14ac:dyDescent="0.25">
      <c r="A9" s="340" t="s">
        <v>397</v>
      </c>
      <c r="B9" s="340" t="s">
        <v>38</v>
      </c>
      <c r="C9" s="340" t="s">
        <v>323</v>
      </c>
      <c r="D9" s="342">
        <v>2996.29</v>
      </c>
      <c r="E9" s="342">
        <v>396.65</v>
      </c>
      <c r="F9" s="342">
        <v>494.9</v>
      </c>
    </row>
    <row r="10" spans="1:7" x14ac:dyDescent="0.25">
      <c r="A10" s="340" t="s">
        <v>397</v>
      </c>
      <c r="B10" s="340" t="s">
        <v>38</v>
      </c>
      <c r="C10" s="340" t="s">
        <v>41</v>
      </c>
      <c r="D10" s="342">
        <v>71835.820000000007</v>
      </c>
      <c r="E10" s="342">
        <v>66582.990000000005</v>
      </c>
      <c r="F10" s="342">
        <v>699576.44</v>
      </c>
    </row>
    <row r="11" spans="1:7" x14ac:dyDescent="0.25">
      <c r="A11" s="340" t="s">
        <v>397</v>
      </c>
      <c r="B11" s="340" t="s">
        <v>39</v>
      </c>
      <c r="C11" s="340" t="s">
        <v>41</v>
      </c>
      <c r="D11" s="342">
        <v>4766.66</v>
      </c>
      <c r="E11" s="342">
        <v>27282.62</v>
      </c>
      <c r="F11" s="342">
        <v>69331.87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837995.25</v>
      </c>
      <c r="E14" s="390"/>
      <c r="F14" s="417"/>
    </row>
    <row r="15" spans="1:7" x14ac:dyDescent="0.25">
      <c r="A15" s="336" t="s">
        <v>39</v>
      </c>
      <c r="B15" s="415">
        <f>SUM(D11:F11)</f>
        <v>101381.15</v>
      </c>
    </row>
    <row r="16" spans="1:7" x14ac:dyDescent="0.25">
      <c r="A16" s="336" t="s">
        <v>2</v>
      </c>
      <c r="B16" s="415">
        <f>SUM(D9:F9)</f>
        <v>3887.84</v>
      </c>
    </row>
    <row r="17" spans="1:6" x14ac:dyDescent="0.25">
      <c r="A17" s="336" t="s">
        <v>3</v>
      </c>
      <c r="B17" s="415">
        <f>SUM(D8:F8)</f>
        <v>7061.02</v>
      </c>
    </row>
    <row r="18" spans="1:6" ht="15.75" thickBot="1" x14ac:dyDescent="0.3">
      <c r="A18" s="361"/>
      <c r="B18" s="416">
        <f>SUM(B14:B17)</f>
        <v>950325.26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23"/>
  <sheetViews>
    <sheetView zoomScale="130" zoomScaleNormal="130" workbookViewId="0">
      <selection activeCell="B18" sqref="B18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397</v>
      </c>
      <c r="B8" s="340" t="s">
        <v>38</v>
      </c>
      <c r="C8" s="340" t="s">
        <v>3</v>
      </c>
      <c r="D8" s="342">
        <v>0</v>
      </c>
      <c r="E8" s="342">
        <v>1090.52</v>
      </c>
      <c r="F8" s="342">
        <v>6668.37</v>
      </c>
    </row>
    <row r="9" spans="1:7" x14ac:dyDescent="0.25">
      <c r="A9" s="340" t="s">
        <v>397</v>
      </c>
      <c r="B9" s="340" t="s">
        <v>38</v>
      </c>
      <c r="C9" s="340" t="s">
        <v>323</v>
      </c>
      <c r="D9" s="342">
        <v>653.47</v>
      </c>
      <c r="E9" s="342">
        <v>565.76</v>
      </c>
      <c r="F9" s="342">
        <v>388.21</v>
      </c>
    </row>
    <row r="10" spans="1:7" x14ac:dyDescent="0.25">
      <c r="A10" s="340" t="s">
        <v>397</v>
      </c>
      <c r="B10" s="340" t="s">
        <v>38</v>
      </c>
      <c r="C10" s="340" t="s">
        <v>41</v>
      </c>
      <c r="D10" s="342">
        <v>103913.01</v>
      </c>
      <c r="E10" s="342">
        <v>51935.48</v>
      </c>
      <c r="F10" s="342">
        <v>688991.84</v>
      </c>
    </row>
    <row r="11" spans="1:7" x14ac:dyDescent="0.25">
      <c r="A11" s="340" t="s">
        <v>397</v>
      </c>
      <c r="B11" s="340" t="s">
        <v>39</v>
      </c>
      <c r="C11" s="340" t="s">
        <v>41</v>
      </c>
      <c r="D11" s="342">
        <v>30694.86</v>
      </c>
      <c r="E11" s="342">
        <v>13218.73</v>
      </c>
      <c r="F11" s="342">
        <v>71651.070000000007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844840.33</v>
      </c>
      <c r="E14" s="390"/>
      <c r="F14" s="417"/>
    </row>
    <row r="15" spans="1:7" x14ac:dyDescent="0.25">
      <c r="A15" s="336" t="s">
        <v>39</v>
      </c>
      <c r="B15" s="415">
        <f>SUM(D11:F11)</f>
        <v>115564.66</v>
      </c>
    </row>
    <row r="16" spans="1:7" x14ac:dyDescent="0.25">
      <c r="A16" s="336" t="s">
        <v>2</v>
      </c>
      <c r="B16" s="415">
        <f>SUM(D9:F9)</f>
        <v>1607.44</v>
      </c>
    </row>
    <row r="17" spans="1:6" x14ac:dyDescent="0.25">
      <c r="A17" s="336" t="s">
        <v>3</v>
      </c>
      <c r="B17" s="415">
        <f>SUM(D8:F8)</f>
        <v>7758.8899999999994</v>
      </c>
    </row>
    <row r="18" spans="1:6" ht="15.75" thickBot="1" x14ac:dyDescent="0.3">
      <c r="A18" s="361"/>
      <c r="B18" s="416">
        <f>SUM(B14:B17)</f>
        <v>969771.32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23"/>
  <sheetViews>
    <sheetView zoomScale="130" zoomScaleNormal="130" workbookViewId="0">
      <selection activeCell="F23" sqref="F23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397</v>
      </c>
      <c r="B8" s="340" t="s">
        <v>38</v>
      </c>
      <c r="C8" s="340" t="s">
        <v>3</v>
      </c>
      <c r="D8" s="342">
        <v>1423.88</v>
      </c>
      <c r="E8" s="342">
        <v>0</v>
      </c>
      <c r="F8" s="342">
        <v>6750.07</v>
      </c>
    </row>
    <row r="9" spans="1:7" x14ac:dyDescent="0.25">
      <c r="A9" s="340" t="s">
        <v>397</v>
      </c>
      <c r="B9" s="340" t="s">
        <v>38</v>
      </c>
      <c r="C9" s="340" t="s">
        <v>323</v>
      </c>
      <c r="D9" s="342">
        <v>569.75</v>
      </c>
      <c r="E9" s="342">
        <v>150.71</v>
      </c>
      <c r="F9" s="342">
        <v>1683.91</v>
      </c>
    </row>
    <row r="10" spans="1:7" x14ac:dyDescent="0.25">
      <c r="A10" s="340" t="s">
        <v>397</v>
      </c>
      <c r="B10" s="340" t="s">
        <v>38</v>
      </c>
      <c r="C10" s="340" t="s">
        <v>41</v>
      </c>
      <c r="D10" s="342">
        <v>41791.24</v>
      </c>
      <c r="E10" s="342">
        <v>44285.91</v>
      </c>
      <c r="F10" s="342">
        <v>698904.28</v>
      </c>
    </row>
    <row r="11" spans="1:7" x14ac:dyDescent="0.25">
      <c r="A11" s="340" t="s">
        <v>397</v>
      </c>
      <c r="B11" s="340" t="s">
        <v>39</v>
      </c>
      <c r="C11" s="340" t="s">
        <v>41</v>
      </c>
      <c r="D11" s="342">
        <v>11659.06</v>
      </c>
      <c r="E11" s="342">
        <v>6828.75</v>
      </c>
      <c r="F11" s="342">
        <v>94029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784981.43</v>
      </c>
      <c r="E14" s="390"/>
      <c r="F14" s="417"/>
    </row>
    <row r="15" spans="1:7" x14ac:dyDescent="0.25">
      <c r="A15" s="336" t="s">
        <v>39</v>
      </c>
      <c r="B15" s="415">
        <f>SUM(D11:F11)</f>
        <v>112516.81</v>
      </c>
    </row>
    <row r="16" spans="1:7" x14ac:dyDescent="0.25">
      <c r="A16" s="336" t="s">
        <v>2</v>
      </c>
      <c r="B16" s="415">
        <f>SUM(D9:F9)</f>
        <v>2404.37</v>
      </c>
    </row>
    <row r="17" spans="1:6" x14ac:dyDescent="0.25">
      <c r="A17" s="336" t="s">
        <v>3</v>
      </c>
      <c r="B17" s="415">
        <f>SUM(D8:F8)</f>
        <v>8173.95</v>
      </c>
    </row>
    <row r="18" spans="1:6" ht="15.75" thickBot="1" x14ac:dyDescent="0.3">
      <c r="A18" s="361"/>
      <c r="B18" s="416">
        <f>SUM(B14:B17)</f>
        <v>908076.55999999994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G23"/>
  <sheetViews>
    <sheetView topLeftCell="A4" zoomScale="130" zoomScaleNormal="130" workbookViewId="0">
      <selection activeCell="A13" sqref="A13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396</v>
      </c>
      <c r="B8" s="340" t="s">
        <v>38</v>
      </c>
      <c r="C8" s="340" t="s">
        <v>3</v>
      </c>
      <c r="D8" s="342">
        <v>0</v>
      </c>
      <c r="E8" s="342">
        <v>0</v>
      </c>
      <c r="F8" s="342">
        <v>6773.4</v>
      </c>
    </row>
    <row r="9" spans="1:7" x14ac:dyDescent="0.25">
      <c r="A9" s="340" t="s">
        <v>396</v>
      </c>
      <c r="B9" s="340" t="s">
        <v>38</v>
      </c>
      <c r="C9" s="340" t="s">
        <v>323</v>
      </c>
      <c r="D9" s="342">
        <v>169.92</v>
      </c>
      <c r="E9" s="342">
        <v>227.76</v>
      </c>
      <c r="F9" s="342">
        <v>1459</v>
      </c>
    </row>
    <row r="10" spans="1:7" x14ac:dyDescent="0.25">
      <c r="A10" s="340" t="s">
        <v>396</v>
      </c>
      <c r="B10" s="340" t="s">
        <v>38</v>
      </c>
      <c r="C10" s="340" t="s">
        <v>41</v>
      </c>
      <c r="D10" s="342">
        <v>54027.24</v>
      </c>
      <c r="E10" s="342">
        <v>92147.94</v>
      </c>
      <c r="F10" s="342">
        <v>682030.31</v>
      </c>
    </row>
    <row r="11" spans="1:7" x14ac:dyDescent="0.25">
      <c r="A11" s="340" t="s">
        <v>396</v>
      </c>
      <c r="B11" s="340" t="s">
        <v>39</v>
      </c>
      <c r="C11" s="340" t="s">
        <v>41</v>
      </c>
      <c r="D11" s="342">
        <v>9756.35</v>
      </c>
      <c r="E11" s="342">
        <v>43201.279999999999</v>
      </c>
      <c r="F11" s="342">
        <v>82687.95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828205.49</v>
      </c>
      <c r="E14" s="390"/>
      <c r="F14" s="417"/>
    </row>
    <row r="15" spans="1:7" x14ac:dyDescent="0.25">
      <c r="A15" s="336" t="s">
        <v>39</v>
      </c>
      <c r="B15" s="415">
        <f>SUM(D11:F11)</f>
        <v>135645.57999999999</v>
      </c>
    </row>
    <row r="16" spans="1:7" x14ac:dyDescent="0.25">
      <c r="A16" s="336" t="s">
        <v>2</v>
      </c>
      <c r="B16" s="415">
        <f>SUM(D9:F9)</f>
        <v>1856.6799999999998</v>
      </c>
    </row>
    <row r="17" spans="1:6" x14ac:dyDescent="0.25">
      <c r="A17" s="336" t="s">
        <v>3</v>
      </c>
      <c r="B17" s="415">
        <f>SUM(D8:F8)</f>
        <v>6773.4</v>
      </c>
    </row>
    <row r="18" spans="1:6" ht="15.75" thickBot="1" x14ac:dyDescent="0.3">
      <c r="A18" s="361"/>
      <c r="B18" s="416">
        <f>SUM(B14:B17)</f>
        <v>972481.15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23"/>
  <sheetViews>
    <sheetView zoomScale="130" zoomScaleNormal="130" workbookViewId="0">
      <selection activeCell="C16" sqref="C16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396</v>
      </c>
      <c r="B8" s="340" t="s">
        <v>38</v>
      </c>
      <c r="C8" s="340" t="s">
        <v>3</v>
      </c>
      <c r="D8" s="342">
        <v>0</v>
      </c>
      <c r="E8" s="342">
        <v>1166</v>
      </c>
      <c r="F8" s="342">
        <v>7082.8</v>
      </c>
    </row>
    <row r="9" spans="1:7" x14ac:dyDescent="0.25">
      <c r="A9" s="340" t="s">
        <v>396</v>
      </c>
      <c r="B9" s="340" t="s">
        <v>38</v>
      </c>
      <c r="C9" s="340" t="s">
        <v>323</v>
      </c>
      <c r="D9" s="342">
        <v>225.53</v>
      </c>
      <c r="E9" s="342">
        <v>1471.77</v>
      </c>
      <c r="F9" s="342">
        <v>6.21</v>
      </c>
    </row>
    <row r="10" spans="1:7" x14ac:dyDescent="0.25">
      <c r="A10" s="340" t="s">
        <v>396</v>
      </c>
      <c r="B10" s="340" t="s">
        <v>38</v>
      </c>
      <c r="C10" s="340" t="s">
        <v>41</v>
      </c>
      <c r="D10" s="342">
        <v>154717.82</v>
      </c>
      <c r="E10" s="342">
        <v>34009.99</v>
      </c>
      <c r="F10" s="342">
        <v>713952.32</v>
      </c>
    </row>
    <row r="11" spans="1:7" x14ac:dyDescent="0.25">
      <c r="A11" s="340" t="s">
        <v>396</v>
      </c>
      <c r="B11" s="340" t="s">
        <v>39</v>
      </c>
      <c r="C11" s="340" t="s">
        <v>41</v>
      </c>
      <c r="D11" s="342">
        <v>51161.75</v>
      </c>
      <c r="E11" s="342">
        <v>15764.72</v>
      </c>
      <c r="F11" s="342">
        <v>79683.88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902680.12999999989</v>
      </c>
      <c r="E14" s="390"/>
      <c r="F14" s="417"/>
    </row>
    <row r="15" spans="1:7" x14ac:dyDescent="0.25">
      <c r="A15" s="336" t="s">
        <v>39</v>
      </c>
      <c r="B15" s="415">
        <f>SUM(D11:F11)</f>
        <v>146610.35</v>
      </c>
    </row>
    <row r="16" spans="1:7" x14ac:dyDescent="0.25">
      <c r="A16" s="336" t="s">
        <v>2</v>
      </c>
      <c r="B16" s="415">
        <f>SUM(D9:F9)</f>
        <v>1703.51</v>
      </c>
    </row>
    <row r="17" spans="1:6" x14ac:dyDescent="0.25">
      <c r="A17" s="336" t="s">
        <v>3</v>
      </c>
      <c r="B17" s="415">
        <f>SUM(D8:F8)</f>
        <v>8248.7999999999993</v>
      </c>
    </row>
    <row r="18" spans="1:6" ht="15.75" thickBot="1" x14ac:dyDescent="0.3">
      <c r="A18" s="361"/>
      <c r="B18" s="416">
        <f>SUM(B14:B17)</f>
        <v>1059242.79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23"/>
  <sheetViews>
    <sheetView zoomScale="190" zoomScaleNormal="190" workbookViewId="0">
      <selection activeCell="H12" sqref="H12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396</v>
      </c>
      <c r="B8" s="340" t="s">
        <v>38</v>
      </c>
      <c r="C8" s="340" t="s">
        <v>3</v>
      </c>
      <c r="D8" s="342">
        <v>1307.23</v>
      </c>
      <c r="E8" s="342">
        <v>0</v>
      </c>
      <c r="F8" s="342">
        <v>7269.03</v>
      </c>
    </row>
    <row r="9" spans="1:7" x14ac:dyDescent="0.25">
      <c r="A9" s="340" t="s">
        <v>396</v>
      </c>
      <c r="B9" s="340" t="s">
        <v>38</v>
      </c>
      <c r="C9" s="340" t="s">
        <v>323</v>
      </c>
      <c r="D9" s="342">
        <v>2792.69</v>
      </c>
      <c r="E9" s="342">
        <v>3.67</v>
      </c>
      <c r="F9" s="342">
        <v>2.54</v>
      </c>
    </row>
    <row r="10" spans="1:7" x14ac:dyDescent="0.25">
      <c r="A10" s="340" t="s">
        <v>396</v>
      </c>
      <c r="B10" s="340" t="s">
        <v>38</v>
      </c>
      <c r="C10" s="340" t="s">
        <v>41</v>
      </c>
      <c r="D10" s="342">
        <v>37783.39</v>
      </c>
      <c r="E10" s="342">
        <v>38059.919999999998</v>
      </c>
      <c r="F10" s="342">
        <v>742028.16</v>
      </c>
    </row>
    <row r="11" spans="1:7" x14ac:dyDescent="0.25">
      <c r="A11" s="340" t="s">
        <v>396</v>
      </c>
      <c r="B11" s="340" t="s">
        <v>39</v>
      </c>
      <c r="C11" s="340" t="s">
        <v>41</v>
      </c>
      <c r="D11" s="342">
        <v>16842.73</v>
      </c>
      <c r="E11" s="342">
        <v>6736.01</v>
      </c>
      <c r="F11" s="342">
        <v>92689.78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817871.47</v>
      </c>
      <c r="E14" s="390"/>
      <c r="F14" s="417"/>
    </row>
    <row r="15" spans="1:7" x14ac:dyDescent="0.25">
      <c r="A15" s="336" t="s">
        <v>39</v>
      </c>
      <c r="B15" s="415">
        <f>SUM(D11:F11)</f>
        <v>116268.51999999999</v>
      </c>
    </row>
    <row r="16" spans="1:7" x14ac:dyDescent="0.25">
      <c r="A16" s="336" t="s">
        <v>2</v>
      </c>
      <c r="B16" s="415">
        <f>SUM(D9:F9)</f>
        <v>2798.9</v>
      </c>
    </row>
    <row r="17" spans="1:6" x14ac:dyDescent="0.25">
      <c r="A17" s="336" t="s">
        <v>3</v>
      </c>
      <c r="B17" s="415">
        <f>SUM(D8:F8)</f>
        <v>8576.26</v>
      </c>
    </row>
    <row r="18" spans="1:6" ht="15.75" thickBot="1" x14ac:dyDescent="0.3">
      <c r="A18" s="361"/>
      <c r="B18" s="416">
        <f>SUM(B14:B17)</f>
        <v>945515.15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G23"/>
  <sheetViews>
    <sheetView zoomScale="190" zoomScaleNormal="19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396</v>
      </c>
      <c r="B8" s="340" t="s">
        <v>38</v>
      </c>
      <c r="C8" s="340" t="s">
        <v>3</v>
      </c>
      <c r="D8" s="342">
        <v>0</v>
      </c>
      <c r="E8" s="342">
        <v>0</v>
      </c>
      <c r="F8" s="342">
        <v>7352.06</v>
      </c>
    </row>
    <row r="9" spans="1:7" x14ac:dyDescent="0.25">
      <c r="A9" s="340" t="s">
        <v>396</v>
      </c>
      <c r="B9" s="340" t="s">
        <v>38</v>
      </c>
      <c r="C9" s="340" t="s">
        <v>323</v>
      </c>
      <c r="D9" s="342">
        <v>184.97</v>
      </c>
      <c r="E9" s="342">
        <v>2.1800000000000002</v>
      </c>
      <c r="F9" s="342">
        <v>4.83</v>
      </c>
    </row>
    <row r="10" spans="1:7" x14ac:dyDescent="0.25">
      <c r="A10" s="340" t="s">
        <v>396</v>
      </c>
      <c r="B10" s="340" t="s">
        <v>38</v>
      </c>
      <c r="C10" s="340" t="s">
        <v>41</v>
      </c>
      <c r="D10" s="342">
        <v>45384.97</v>
      </c>
      <c r="E10" s="342">
        <v>95927.02</v>
      </c>
      <c r="F10" s="342">
        <v>696634.64</v>
      </c>
    </row>
    <row r="11" spans="1:7" x14ac:dyDescent="0.25">
      <c r="A11" s="340" t="s">
        <v>396</v>
      </c>
      <c r="B11" s="340" t="s">
        <v>39</v>
      </c>
      <c r="C11" s="340" t="s">
        <v>41</v>
      </c>
      <c r="D11" s="342">
        <v>7987.59</v>
      </c>
      <c r="E11" s="342">
        <v>26565.279999999999</v>
      </c>
      <c r="F11" s="342">
        <v>81259.02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837946.63</v>
      </c>
      <c r="E14" s="390"/>
      <c r="F14" s="417"/>
    </row>
    <row r="15" spans="1:7" x14ac:dyDescent="0.25">
      <c r="A15" s="336" t="s">
        <v>39</v>
      </c>
      <c r="B15" s="415">
        <f>SUM(D11:F11)</f>
        <v>115811.89</v>
      </c>
    </row>
    <row r="16" spans="1:7" x14ac:dyDescent="0.25">
      <c r="A16" s="336" t="s">
        <v>2</v>
      </c>
      <c r="B16" s="415">
        <f>SUM(D9:F9)</f>
        <v>191.98000000000002</v>
      </c>
    </row>
    <row r="17" spans="1:6" x14ac:dyDescent="0.25">
      <c r="A17" s="336" t="s">
        <v>3</v>
      </c>
      <c r="B17" s="415">
        <f>SUM(D8:F8)</f>
        <v>7352.06</v>
      </c>
    </row>
    <row r="18" spans="1:6" ht="15.75" thickBot="1" x14ac:dyDescent="0.3">
      <c r="A18" s="361"/>
      <c r="B18" s="416">
        <f>SUM(B14:B17)</f>
        <v>961302.56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G23"/>
  <sheetViews>
    <sheetView zoomScale="190" zoomScaleNormal="190" workbookViewId="0">
      <selection activeCell="F8" sqref="F8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396</v>
      </c>
      <c r="B8" s="340" t="s">
        <v>38</v>
      </c>
      <c r="C8" s="340" t="s">
        <v>3</v>
      </c>
      <c r="D8" s="342">
        <v>0</v>
      </c>
      <c r="E8" s="342">
        <v>1423.56</v>
      </c>
      <c r="F8" s="342">
        <v>6807.43</v>
      </c>
    </row>
    <row r="9" spans="1:7" x14ac:dyDescent="0.25">
      <c r="A9" s="340" t="s">
        <v>396</v>
      </c>
      <c r="B9" s="340" t="s">
        <v>38</v>
      </c>
      <c r="C9" s="340" t="s">
        <v>323</v>
      </c>
      <c r="D9" s="342">
        <v>9898.0300000000007</v>
      </c>
      <c r="E9" s="342">
        <v>2.86</v>
      </c>
      <c r="F9" s="342">
        <v>1.97</v>
      </c>
    </row>
    <row r="10" spans="1:7" x14ac:dyDescent="0.25">
      <c r="A10" s="340" t="s">
        <v>396</v>
      </c>
      <c r="B10" s="340" t="s">
        <v>38</v>
      </c>
      <c r="C10" s="340" t="s">
        <v>41</v>
      </c>
      <c r="D10" s="342">
        <v>126529.97</v>
      </c>
      <c r="E10" s="342">
        <v>31026.97</v>
      </c>
      <c r="F10" s="342">
        <v>725415.48</v>
      </c>
    </row>
    <row r="11" spans="1:7" x14ac:dyDescent="0.25">
      <c r="A11" s="340" t="s">
        <v>396</v>
      </c>
      <c r="B11" s="340" t="s">
        <v>39</v>
      </c>
      <c r="C11" s="340" t="s">
        <v>41</v>
      </c>
      <c r="D11" s="342">
        <v>32997.199999999997</v>
      </c>
      <c r="E11" s="342">
        <v>14671.79</v>
      </c>
      <c r="F11" s="342">
        <v>79469.88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882972.41999999993</v>
      </c>
      <c r="E14" s="390"/>
      <c r="F14" s="417"/>
    </row>
    <row r="15" spans="1:7" x14ac:dyDescent="0.25">
      <c r="A15" s="336" t="s">
        <v>39</v>
      </c>
      <c r="B15" s="415">
        <f>SUM(D11:F11)</f>
        <v>127138.87</v>
      </c>
    </row>
    <row r="16" spans="1:7" x14ac:dyDescent="0.25">
      <c r="A16" s="336" t="s">
        <v>2</v>
      </c>
      <c r="B16" s="415">
        <f>SUM(D9:F9)</f>
        <v>9902.86</v>
      </c>
    </row>
    <row r="17" spans="1:6" x14ac:dyDescent="0.25">
      <c r="A17" s="336" t="s">
        <v>3</v>
      </c>
      <c r="B17" s="415">
        <f>SUM(D8:F8)</f>
        <v>8230.99</v>
      </c>
    </row>
    <row r="18" spans="1:6" ht="15.75" thickBot="1" x14ac:dyDescent="0.3">
      <c r="A18" s="361"/>
      <c r="B18" s="416">
        <f>SUM(B14:B17)</f>
        <v>1028245.1399999999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G23"/>
  <sheetViews>
    <sheetView zoomScale="190" zoomScaleNormal="190" workbookViewId="0">
      <selection activeCell="D10" sqref="D1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396</v>
      </c>
      <c r="B8" s="340" t="s">
        <v>38</v>
      </c>
      <c r="C8" s="340" t="s">
        <v>3</v>
      </c>
      <c r="D8" s="342">
        <v>1463.28</v>
      </c>
      <c r="E8" s="342">
        <v>0</v>
      </c>
      <c r="F8" s="342">
        <v>6807.43</v>
      </c>
    </row>
    <row r="9" spans="1:7" x14ac:dyDescent="0.25">
      <c r="A9" s="340" t="s">
        <v>396</v>
      </c>
      <c r="B9" s="340" t="s">
        <v>38</v>
      </c>
      <c r="C9" s="340" t="s">
        <v>323</v>
      </c>
      <c r="D9" s="342">
        <v>4.72</v>
      </c>
      <c r="E9" s="342">
        <v>0.52</v>
      </c>
      <c r="F9" s="342">
        <v>6.21</v>
      </c>
    </row>
    <row r="10" spans="1:7" x14ac:dyDescent="0.25">
      <c r="A10" s="340" t="s">
        <v>396</v>
      </c>
      <c r="B10" s="340" t="s">
        <v>38</v>
      </c>
      <c r="C10" s="340" t="s">
        <v>41</v>
      </c>
      <c r="D10" s="342">
        <v>51721.760000000002</v>
      </c>
      <c r="E10" s="342">
        <v>45050.720000000001</v>
      </c>
      <c r="F10" s="342">
        <v>722788.01</v>
      </c>
    </row>
    <row r="11" spans="1:7" x14ac:dyDescent="0.25">
      <c r="A11" s="340" t="s">
        <v>396</v>
      </c>
      <c r="B11" s="340" t="s">
        <v>39</v>
      </c>
      <c r="C11" s="340" t="s">
        <v>41</v>
      </c>
      <c r="D11" s="342">
        <v>22747.31</v>
      </c>
      <c r="E11" s="342">
        <v>6459.31</v>
      </c>
      <c r="F11" s="342">
        <v>88978.8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819560.49</v>
      </c>
      <c r="E14" s="390"/>
      <c r="F14" s="417"/>
    </row>
    <row r="15" spans="1:7" x14ac:dyDescent="0.25">
      <c r="A15" s="336" t="s">
        <v>39</v>
      </c>
      <c r="B15" s="415">
        <f>SUM(D11:F11)</f>
        <v>118185.42000000001</v>
      </c>
    </row>
    <row r="16" spans="1:7" x14ac:dyDescent="0.25">
      <c r="A16" s="336" t="s">
        <v>2</v>
      </c>
      <c r="B16" s="415">
        <f>SUM(D9:F9)</f>
        <v>11.45</v>
      </c>
    </row>
    <row r="17" spans="1:6" x14ac:dyDescent="0.25">
      <c r="A17" s="336" t="s">
        <v>3</v>
      </c>
      <c r="B17" s="415">
        <f>SUM(D8:F8)</f>
        <v>8270.7100000000009</v>
      </c>
    </row>
    <row r="18" spans="1:6" ht="15.75" thickBot="1" x14ac:dyDescent="0.3">
      <c r="A18" s="361"/>
      <c r="B18" s="416">
        <f>SUM(B14:B17)</f>
        <v>946028.07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G23"/>
  <sheetViews>
    <sheetView zoomScale="190" zoomScaleNormal="190" workbookViewId="0">
      <selection activeCell="E19" sqref="E19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396</v>
      </c>
      <c r="B8" s="340" t="s">
        <v>38</v>
      </c>
      <c r="C8" s="340" t="s">
        <v>3</v>
      </c>
      <c r="D8" s="342">
        <v>0</v>
      </c>
      <c r="E8" s="342">
        <v>0</v>
      </c>
      <c r="F8" s="342">
        <v>6791.89</v>
      </c>
    </row>
    <row r="9" spans="1:7" x14ac:dyDescent="0.25">
      <c r="A9" s="340" t="s">
        <v>396</v>
      </c>
      <c r="B9" s="340" t="s">
        <v>38</v>
      </c>
      <c r="C9" s="340" t="s">
        <v>323</v>
      </c>
      <c r="D9" s="342">
        <v>69061.98</v>
      </c>
      <c r="E9" s="342">
        <v>0</v>
      </c>
      <c r="F9" s="342">
        <v>44.55</v>
      </c>
    </row>
    <row r="10" spans="1:7" x14ac:dyDescent="0.25">
      <c r="A10" s="340" t="s">
        <v>396</v>
      </c>
      <c r="B10" s="340" t="s">
        <v>38</v>
      </c>
      <c r="C10" s="340" t="s">
        <v>41</v>
      </c>
      <c r="D10" s="342">
        <v>53269.7</v>
      </c>
      <c r="E10" s="342">
        <v>88230.66</v>
      </c>
      <c r="F10" s="342">
        <v>685076.96</v>
      </c>
    </row>
    <row r="11" spans="1:7" x14ac:dyDescent="0.25">
      <c r="A11" s="340" t="s">
        <v>396</v>
      </c>
      <c r="B11" s="340" t="s">
        <v>39</v>
      </c>
      <c r="C11" s="340" t="s">
        <v>41</v>
      </c>
      <c r="D11" s="342">
        <v>7398.3</v>
      </c>
      <c r="E11" s="342">
        <v>22580.31</v>
      </c>
      <c r="F11" s="342">
        <v>76704.179999999993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826577.32</v>
      </c>
      <c r="E14" s="390"/>
      <c r="F14" s="417"/>
    </row>
    <row r="15" spans="1:7" x14ac:dyDescent="0.25">
      <c r="A15" s="336" t="s">
        <v>39</v>
      </c>
      <c r="B15" s="415">
        <f>SUM(D11:F11)</f>
        <v>106682.79</v>
      </c>
    </row>
    <row r="16" spans="1:7" x14ac:dyDescent="0.25">
      <c r="A16" s="336" t="s">
        <v>2</v>
      </c>
      <c r="B16" s="415">
        <f>SUM(D9:F9)</f>
        <v>69106.53</v>
      </c>
    </row>
    <row r="17" spans="1:6" x14ac:dyDescent="0.25">
      <c r="A17" s="336" t="s">
        <v>3</v>
      </c>
      <c r="B17" s="415">
        <f>SUM(D8:F8)</f>
        <v>6791.89</v>
      </c>
    </row>
    <row r="18" spans="1:6" ht="15.75" thickBot="1" x14ac:dyDescent="0.3">
      <c r="A18" s="361"/>
      <c r="B18" s="416">
        <f>SUM(B14:B17)</f>
        <v>1009158.53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7409-9953-4117-B415-D19C987B473A}">
  <dimension ref="A1:G23"/>
  <sheetViews>
    <sheetView zoomScale="130" zoomScaleNormal="130" workbookViewId="0">
      <selection activeCell="C19" sqref="C19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439</v>
      </c>
      <c r="B8" s="340" t="s">
        <v>38</v>
      </c>
      <c r="C8" s="340" t="s">
        <v>3</v>
      </c>
      <c r="D8" s="342">
        <v>20</v>
      </c>
      <c r="E8" s="342">
        <v>20</v>
      </c>
      <c r="F8" s="342">
        <v>2464.75</v>
      </c>
    </row>
    <row r="9" spans="1:7" x14ac:dyDescent="0.25">
      <c r="A9" s="340" t="s">
        <v>439</v>
      </c>
      <c r="B9" s="340" t="s">
        <v>38</v>
      </c>
      <c r="C9" s="340" t="s">
        <v>323</v>
      </c>
      <c r="D9" s="342">
        <v>4072.44</v>
      </c>
      <c r="E9" s="342">
        <v>0.51</v>
      </c>
      <c r="F9" s="342">
        <v>7745.7</v>
      </c>
    </row>
    <row r="10" spans="1:7" x14ac:dyDescent="0.25">
      <c r="A10" s="340" t="s">
        <v>439</v>
      </c>
      <c r="B10" s="340" t="s">
        <v>38</v>
      </c>
      <c r="C10" s="340" t="s">
        <v>41</v>
      </c>
      <c r="D10" s="342">
        <v>145016.09</v>
      </c>
      <c r="E10" s="342">
        <v>55551.76</v>
      </c>
      <c r="F10" s="342">
        <v>1282621.03</v>
      </c>
    </row>
    <row r="11" spans="1:7" x14ac:dyDescent="0.25">
      <c r="A11" s="340" t="s">
        <v>439</v>
      </c>
      <c r="B11" s="340" t="s">
        <v>39</v>
      </c>
      <c r="C11" s="340" t="s">
        <v>41</v>
      </c>
      <c r="D11" s="342">
        <v>24838.63</v>
      </c>
      <c r="E11" s="342">
        <v>8373.66</v>
      </c>
      <c r="F11" s="342">
        <v>99728.24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1483188.8800000001</v>
      </c>
      <c r="E14" s="390"/>
      <c r="F14" s="417"/>
    </row>
    <row r="15" spans="1:7" x14ac:dyDescent="0.25">
      <c r="A15" s="336" t="s">
        <v>39</v>
      </c>
      <c r="B15" s="415">
        <f>SUM(D11:F11)</f>
        <v>132940.53</v>
      </c>
    </row>
    <row r="16" spans="1:7" x14ac:dyDescent="0.25">
      <c r="A16" s="336" t="s">
        <v>2</v>
      </c>
      <c r="B16" s="415">
        <f>SUM(D9:F9)</f>
        <v>11818.65</v>
      </c>
    </row>
    <row r="17" spans="1:6" x14ac:dyDescent="0.25">
      <c r="A17" s="336" t="s">
        <v>3</v>
      </c>
      <c r="B17" s="415">
        <f>SUM(D8:F8)</f>
        <v>2504.75</v>
      </c>
    </row>
    <row r="18" spans="1:6" ht="15.75" thickBot="1" x14ac:dyDescent="0.3">
      <c r="A18" s="361"/>
      <c r="B18" s="416">
        <f>SUM(B14:B17)</f>
        <v>1630452.81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G23"/>
  <sheetViews>
    <sheetView zoomScaleNormal="100" workbookViewId="0">
      <selection activeCell="B16" sqref="B16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396</v>
      </c>
      <c r="B8" s="340" t="s">
        <v>38</v>
      </c>
      <c r="C8" s="340" t="s">
        <v>3</v>
      </c>
      <c r="D8" s="342">
        <v>0</v>
      </c>
      <c r="E8" s="342">
        <v>1002.3</v>
      </c>
      <c r="F8" s="342">
        <v>5896.23</v>
      </c>
    </row>
    <row r="9" spans="1:7" x14ac:dyDescent="0.25">
      <c r="A9" s="340" t="s">
        <v>396</v>
      </c>
      <c r="B9" s="340" t="s">
        <v>38</v>
      </c>
      <c r="C9" s="340" t="s">
        <v>323</v>
      </c>
      <c r="D9" s="342">
        <v>328.32</v>
      </c>
      <c r="E9" s="342">
        <v>37.61</v>
      </c>
      <c r="F9" s="342">
        <v>27.46</v>
      </c>
    </row>
    <row r="10" spans="1:7" x14ac:dyDescent="0.25">
      <c r="A10" s="340" t="s">
        <v>396</v>
      </c>
      <c r="B10" s="340" t="s">
        <v>38</v>
      </c>
      <c r="C10" s="340" t="s">
        <v>41</v>
      </c>
      <c r="D10" s="342">
        <v>114443.36</v>
      </c>
      <c r="E10" s="342">
        <v>38457.72</v>
      </c>
      <c r="F10" s="342">
        <v>682550.25</v>
      </c>
    </row>
    <row r="11" spans="1:7" x14ac:dyDescent="0.25">
      <c r="A11" s="340" t="s">
        <v>396</v>
      </c>
      <c r="B11" s="340" t="s">
        <v>39</v>
      </c>
      <c r="C11" s="340" t="s">
        <v>41</v>
      </c>
      <c r="D11" s="342">
        <v>28572.27</v>
      </c>
      <c r="E11" s="342">
        <v>11014.56</v>
      </c>
      <c r="F11" s="342">
        <v>74857.539999999994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835451.33000000007</v>
      </c>
      <c r="E14" s="390"/>
      <c r="F14" s="417"/>
    </row>
    <row r="15" spans="1:7" x14ac:dyDescent="0.25">
      <c r="A15" s="336" t="s">
        <v>39</v>
      </c>
      <c r="B15" s="415">
        <f>SUM(D11:F11)</f>
        <v>114444.37</v>
      </c>
    </row>
    <row r="16" spans="1:7" x14ac:dyDescent="0.25">
      <c r="A16" s="336" t="s">
        <v>2</v>
      </c>
      <c r="B16" s="415">
        <f>SUM(D9:F9)</f>
        <v>393.39</v>
      </c>
    </row>
    <row r="17" spans="1:6" x14ac:dyDescent="0.25">
      <c r="A17" s="336" t="s">
        <v>3</v>
      </c>
      <c r="B17" s="415">
        <f>SUM(D8:F8)</f>
        <v>6898.53</v>
      </c>
    </row>
    <row r="18" spans="1:6" ht="15.75" thickBot="1" x14ac:dyDescent="0.3">
      <c r="A18" s="361"/>
      <c r="B18" s="416">
        <f>SUM(B14:B17)</f>
        <v>957187.62000000011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G23"/>
  <sheetViews>
    <sheetView zoomScaleNormal="100" workbookViewId="0">
      <selection activeCell="A7" sqref="A7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396</v>
      </c>
      <c r="B8" s="340" t="s">
        <v>38</v>
      </c>
      <c r="C8" s="340" t="s">
        <v>3</v>
      </c>
      <c r="D8" s="342">
        <v>1602.96</v>
      </c>
      <c r="E8" s="342">
        <v>0</v>
      </c>
      <c r="F8" s="342">
        <v>15865.32</v>
      </c>
    </row>
    <row r="9" spans="1:7" x14ac:dyDescent="0.25">
      <c r="A9" s="340" t="s">
        <v>396</v>
      </c>
      <c r="B9" s="340" t="s">
        <v>38</v>
      </c>
      <c r="C9" s="340" t="s">
        <v>323</v>
      </c>
      <c r="D9" s="342">
        <v>46.55</v>
      </c>
      <c r="E9" s="342">
        <v>21.39</v>
      </c>
      <c r="F9" s="342">
        <v>84.79</v>
      </c>
    </row>
    <row r="10" spans="1:7" x14ac:dyDescent="0.25">
      <c r="A10" s="340" t="s">
        <v>396</v>
      </c>
      <c r="B10" s="340" t="s">
        <v>38</v>
      </c>
      <c r="C10" s="340" t="s">
        <v>41</v>
      </c>
      <c r="D10" s="342">
        <v>60722.76</v>
      </c>
      <c r="E10" s="342">
        <v>59452.62</v>
      </c>
      <c r="F10" s="342">
        <v>663732.98</v>
      </c>
    </row>
    <row r="11" spans="1:7" x14ac:dyDescent="0.25">
      <c r="A11" s="340" t="s">
        <v>396</v>
      </c>
      <c r="B11" s="340" t="s">
        <v>39</v>
      </c>
      <c r="C11" s="340" t="s">
        <v>41</v>
      </c>
      <c r="D11" s="342">
        <v>13714.57</v>
      </c>
      <c r="E11" s="342">
        <v>5443.43</v>
      </c>
      <c r="F11" s="342">
        <v>79933.66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783908.36</v>
      </c>
      <c r="E14" s="390"/>
      <c r="F14" s="417"/>
    </row>
    <row r="15" spans="1:7" x14ac:dyDescent="0.25">
      <c r="A15" s="336" t="s">
        <v>39</v>
      </c>
      <c r="B15" s="415">
        <f>SUM(D11:F11)</f>
        <v>99091.66</v>
      </c>
    </row>
    <row r="16" spans="1:7" x14ac:dyDescent="0.25">
      <c r="A16" s="336" t="s">
        <v>2</v>
      </c>
      <c r="B16" s="415">
        <f>SUM(D9:F9)</f>
        <v>152.73000000000002</v>
      </c>
    </row>
    <row r="17" spans="1:6" x14ac:dyDescent="0.25">
      <c r="A17" s="336" t="s">
        <v>3</v>
      </c>
      <c r="B17" s="415">
        <f>SUM(D8:F8)</f>
        <v>17468.28</v>
      </c>
    </row>
    <row r="18" spans="1:6" ht="15.75" thickBot="1" x14ac:dyDescent="0.3">
      <c r="A18" s="361"/>
      <c r="B18" s="416">
        <f>SUM(B14:B17)</f>
        <v>900621.03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G23"/>
  <sheetViews>
    <sheetView zoomScaleNormal="100" workbookViewId="0">
      <selection activeCell="A7" sqref="A7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396</v>
      </c>
      <c r="B8" s="340" t="s">
        <v>38</v>
      </c>
      <c r="C8" s="340" t="s">
        <v>3</v>
      </c>
      <c r="D8" s="342">
        <v>0</v>
      </c>
      <c r="E8" s="342">
        <v>0</v>
      </c>
      <c r="F8" s="342">
        <v>16055.55</v>
      </c>
    </row>
    <row r="9" spans="1:7" x14ac:dyDescent="0.25">
      <c r="A9" s="340" t="s">
        <v>396</v>
      </c>
      <c r="B9" s="340" t="s">
        <v>38</v>
      </c>
      <c r="C9" s="340" t="s">
        <v>323</v>
      </c>
      <c r="D9" s="342">
        <v>21.39</v>
      </c>
      <c r="E9" s="342">
        <v>4.55</v>
      </c>
      <c r="F9" s="342">
        <v>84.56</v>
      </c>
    </row>
    <row r="10" spans="1:7" x14ac:dyDescent="0.25">
      <c r="A10" s="340" t="s">
        <v>396</v>
      </c>
      <c r="B10" s="340" t="s">
        <v>38</v>
      </c>
      <c r="C10" s="340" t="s">
        <v>41</v>
      </c>
      <c r="D10" s="342">
        <v>67639.679999999993</v>
      </c>
      <c r="E10" s="342">
        <v>78364.39</v>
      </c>
      <c r="F10" s="342">
        <v>637291.09</v>
      </c>
    </row>
    <row r="11" spans="1:7" x14ac:dyDescent="0.25">
      <c r="A11" s="340" t="s">
        <v>396</v>
      </c>
      <c r="B11" s="340" t="s">
        <v>39</v>
      </c>
      <c r="C11" s="340" t="s">
        <v>41</v>
      </c>
      <c r="D11" s="342">
        <v>7197.56</v>
      </c>
      <c r="E11" s="342">
        <v>23358.7</v>
      </c>
      <c r="F11" s="342">
        <v>68725.02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783295.15999999992</v>
      </c>
      <c r="E14" s="390"/>
      <c r="F14" s="417"/>
    </row>
    <row r="15" spans="1:7" x14ac:dyDescent="0.25">
      <c r="A15" s="336" t="s">
        <v>39</v>
      </c>
      <c r="B15" s="415">
        <f>SUM(D11:F11)</f>
        <v>99281.279999999999</v>
      </c>
    </row>
    <row r="16" spans="1:7" x14ac:dyDescent="0.25">
      <c r="A16" s="336" t="s">
        <v>2</v>
      </c>
      <c r="B16" s="415">
        <f>SUM(D9:F9)</f>
        <v>110.5</v>
      </c>
    </row>
    <row r="17" spans="1:6" x14ac:dyDescent="0.25">
      <c r="A17" s="336" t="s">
        <v>3</v>
      </c>
      <c r="B17" s="415">
        <f>SUM(D8:F8)</f>
        <v>16055.55</v>
      </c>
    </row>
    <row r="18" spans="1:6" ht="15.75" thickBot="1" x14ac:dyDescent="0.3">
      <c r="A18" s="361"/>
      <c r="B18" s="416">
        <f>SUM(B14:B17)</f>
        <v>898742.49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G23"/>
  <sheetViews>
    <sheetView zoomScaleNormal="100" workbookViewId="0">
      <selection activeCell="D14" sqref="D14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396</v>
      </c>
      <c r="B8" s="340" t="s">
        <v>38</v>
      </c>
      <c r="C8" s="340" t="s">
        <v>3</v>
      </c>
      <c r="D8" s="342">
        <v>0</v>
      </c>
      <c r="E8" s="342">
        <v>1209.32</v>
      </c>
      <c r="F8" s="342">
        <v>15200.13</v>
      </c>
    </row>
    <row r="9" spans="1:7" x14ac:dyDescent="0.25">
      <c r="A9" s="340" t="s">
        <v>396</v>
      </c>
      <c r="B9" s="340" t="s">
        <v>38</v>
      </c>
      <c r="C9" s="340" t="s">
        <v>323</v>
      </c>
      <c r="D9" s="342">
        <v>10.78</v>
      </c>
      <c r="E9" s="342">
        <v>2.41</v>
      </c>
      <c r="F9" s="342">
        <v>83.79</v>
      </c>
    </row>
    <row r="10" spans="1:7" x14ac:dyDescent="0.25">
      <c r="A10" s="340" t="s">
        <v>396</v>
      </c>
      <c r="B10" s="340" t="s">
        <v>38</v>
      </c>
      <c r="C10" s="340" t="s">
        <v>41</v>
      </c>
      <c r="D10" s="342">
        <v>104861.72</v>
      </c>
      <c r="E10" s="342">
        <v>40409.269999999997</v>
      </c>
      <c r="F10" s="342">
        <v>643583.76</v>
      </c>
    </row>
    <row r="11" spans="1:7" x14ac:dyDescent="0.25">
      <c r="A11" s="340" t="s">
        <v>396</v>
      </c>
      <c r="B11" s="340" t="s">
        <v>39</v>
      </c>
      <c r="C11" s="340" t="s">
        <v>41</v>
      </c>
      <c r="D11" s="342">
        <v>31024.959999999999</v>
      </c>
      <c r="E11" s="342">
        <v>13273.52</v>
      </c>
      <c r="F11" s="342">
        <v>76722.600000000006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788854.75</v>
      </c>
      <c r="E14" s="390"/>
      <c r="F14" s="417"/>
    </row>
    <row r="15" spans="1:7" x14ac:dyDescent="0.25">
      <c r="A15" s="336" t="s">
        <v>39</v>
      </c>
      <c r="B15" s="415">
        <f>SUM(D11:F11)</f>
        <v>121021.08</v>
      </c>
    </row>
    <row r="16" spans="1:7" x14ac:dyDescent="0.25">
      <c r="A16" s="336" t="s">
        <v>2</v>
      </c>
      <c r="B16" s="415">
        <f>SUM(D9:F9)</f>
        <v>96.98</v>
      </c>
    </row>
    <row r="17" spans="1:6" x14ac:dyDescent="0.25">
      <c r="A17" s="336" t="s">
        <v>3</v>
      </c>
      <c r="B17" s="415">
        <f>SUM(D8:F8)</f>
        <v>16409.45</v>
      </c>
    </row>
    <row r="18" spans="1:6" ht="15.75" thickBot="1" x14ac:dyDescent="0.3">
      <c r="A18" s="361"/>
      <c r="B18" s="416">
        <f>SUM(B14:B17)</f>
        <v>926382.25999999989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G23"/>
  <sheetViews>
    <sheetView zoomScaleNormal="100" workbookViewId="0">
      <selection activeCell="A7" sqref="A7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396</v>
      </c>
      <c r="B8" s="340" t="s">
        <v>38</v>
      </c>
      <c r="C8" s="340" t="s">
        <v>3</v>
      </c>
      <c r="D8" s="342">
        <v>1328.79</v>
      </c>
      <c r="E8" s="342">
        <v>0</v>
      </c>
      <c r="F8" s="342">
        <v>15200.13</v>
      </c>
    </row>
    <row r="9" spans="1:7" x14ac:dyDescent="0.25">
      <c r="A9" s="340" t="s">
        <v>396</v>
      </c>
      <c r="B9" s="340" t="s">
        <v>38</v>
      </c>
      <c r="C9" s="340" t="s">
        <v>323</v>
      </c>
      <c r="D9" s="342">
        <v>20.440000000000001</v>
      </c>
      <c r="E9" s="342">
        <v>16.53</v>
      </c>
      <c r="F9" s="342">
        <v>67.260000000000005</v>
      </c>
    </row>
    <row r="10" spans="1:7" x14ac:dyDescent="0.25">
      <c r="A10" s="340" t="s">
        <v>396</v>
      </c>
      <c r="B10" s="340" t="s">
        <v>38</v>
      </c>
      <c r="C10" s="340" t="s">
        <v>41</v>
      </c>
      <c r="D10" s="342">
        <v>60248.17</v>
      </c>
      <c r="E10" s="342">
        <v>69339.28</v>
      </c>
      <c r="F10" s="342">
        <v>655131.48</v>
      </c>
    </row>
    <row r="11" spans="1:7" x14ac:dyDescent="0.25">
      <c r="A11" s="340" t="s">
        <v>396</v>
      </c>
      <c r="B11" s="340" t="s">
        <v>39</v>
      </c>
      <c r="C11" s="340" t="s">
        <v>41</v>
      </c>
      <c r="D11" s="342">
        <v>17655.73</v>
      </c>
      <c r="E11" s="342">
        <v>10946.5</v>
      </c>
      <c r="F11" s="342">
        <v>98006.45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784718.92999999993</v>
      </c>
      <c r="E14" s="390"/>
      <c r="F14" s="417"/>
    </row>
    <row r="15" spans="1:7" x14ac:dyDescent="0.25">
      <c r="A15" s="336" t="s">
        <v>39</v>
      </c>
      <c r="B15" s="415">
        <f>SUM(D11:F11)</f>
        <v>126608.68</v>
      </c>
    </row>
    <row r="16" spans="1:7" x14ac:dyDescent="0.25">
      <c r="A16" s="336" t="s">
        <v>2</v>
      </c>
      <c r="B16" s="415">
        <f>SUM(D9:F9)</f>
        <v>104.23</v>
      </c>
    </row>
    <row r="17" spans="1:6" x14ac:dyDescent="0.25">
      <c r="A17" s="336" t="s">
        <v>3</v>
      </c>
      <c r="B17" s="415">
        <f>SUM(D8:F8)</f>
        <v>16528.919999999998</v>
      </c>
    </row>
    <row r="18" spans="1:6" ht="15.75" thickBot="1" x14ac:dyDescent="0.3">
      <c r="A18" s="361"/>
      <c r="B18" s="416">
        <f>SUM(B14:B17)</f>
        <v>927960.75999999989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G23"/>
  <sheetViews>
    <sheetView zoomScaleNormal="100" workbookViewId="0">
      <selection activeCell="A7" sqref="A7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386</v>
      </c>
      <c r="B8" s="340" t="s">
        <v>38</v>
      </c>
      <c r="C8" s="340" t="s">
        <v>3</v>
      </c>
      <c r="D8" s="342">
        <v>0</v>
      </c>
      <c r="E8" s="342">
        <v>0</v>
      </c>
      <c r="F8" s="342">
        <v>15328.67</v>
      </c>
    </row>
    <row r="9" spans="1:7" x14ac:dyDescent="0.25">
      <c r="A9" s="340" t="s">
        <v>386</v>
      </c>
      <c r="B9" s="340" t="s">
        <v>38</v>
      </c>
      <c r="C9" s="340" t="s">
        <v>323</v>
      </c>
      <c r="D9" s="342">
        <v>18.52</v>
      </c>
      <c r="E9" s="342">
        <v>12529.14</v>
      </c>
      <c r="F9" s="342">
        <v>5346.62</v>
      </c>
    </row>
    <row r="10" spans="1:7" x14ac:dyDescent="0.25">
      <c r="A10" s="340" t="s">
        <v>386</v>
      </c>
      <c r="B10" s="340" t="s">
        <v>38</v>
      </c>
      <c r="C10" s="340" t="s">
        <v>41</v>
      </c>
      <c r="D10" s="342">
        <v>86989.89</v>
      </c>
      <c r="E10" s="342">
        <v>101541.64</v>
      </c>
      <c r="F10" s="342">
        <v>659833.03</v>
      </c>
    </row>
    <row r="11" spans="1:7" x14ac:dyDescent="0.25">
      <c r="A11" s="340" t="s">
        <v>386</v>
      </c>
      <c r="B11" s="340" t="s">
        <v>39</v>
      </c>
      <c r="C11" s="340" t="s">
        <v>41</v>
      </c>
      <c r="D11" s="342">
        <v>16101.59</v>
      </c>
      <c r="E11" s="342">
        <v>43495.42</v>
      </c>
      <c r="F11" s="342">
        <v>89392.92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848364.56</v>
      </c>
      <c r="E14" s="390"/>
      <c r="F14" s="417"/>
    </row>
    <row r="15" spans="1:7" x14ac:dyDescent="0.25">
      <c r="A15" s="336" t="s">
        <v>39</v>
      </c>
      <c r="B15" s="415">
        <f>SUM(D11:F11)</f>
        <v>148989.93</v>
      </c>
    </row>
    <row r="16" spans="1:7" x14ac:dyDescent="0.25">
      <c r="A16" s="336" t="s">
        <v>2</v>
      </c>
      <c r="B16" s="415">
        <f>SUM(D9:F9)</f>
        <v>17894.28</v>
      </c>
    </row>
    <row r="17" spans="1:6" x14ac:dyDescent="0.25">
      <c r="A17" s="336" t="s">
        <v>3</v>
      </c>
      <c r="B17" s="415">
        <f>SUM(D8:F8)</f>
        <v>15328.67</v>
      </c>
    </row>
    <row r="18" spans="1:6" ht="15.75" thickBot="1" x14ac:dyDescent="0.3">
      <c r="A18" s="361"/>
      <c r="B18" s="416">
        <f>SUM(B14:B17)</f>
        <v>1030577.4400000001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G23"/>
  <sheetViews>
    <sheetView zoomScaleNormal="100" workbookViewId="0">
      <selection activeCell="C15" sqref="C15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386</v>
      </c>
      <c r="B8" s="340" t="s">
        <v>38</v>
      </c>
      <c r="C8" s="340" t="s">
        <v>3</v>
      </c>
      <c r="D8" s="342">
        <v>0</v>
      </c>
      <c r="E8" s="342">
        <v>955.73</v>
      </c>
      <c r="F8" s="342">
        <v>15883.06</v>
      </c>
    </row>
    <row r="9" spans="1:7" x14ac:dyDescent="0.25">
      <c r="A9" s="340" t="s">
        <v>386</v>
      </c>
      <c r="B9" s="340" t="s">
        <v>38</v>
      </c>
      <c r="C9" s="340" t="s">
        <v>323</v>
      </c>
      <c r="D9" s="342">
        <v>12425</v>
      </c>
      <c r="E9" s="342">
        <v>5090.1099999999997</v>
      </c>
      <c r="F9" s="342">
        <v>319.08</v>
      </c>
    </row>
    <row r="10" spans="1:7" x14ac:dyDescent="0.25">
      <c r="A10" s="340" t="s">
        <v>386</v>
      </c>
      <c r="B10" s="340" t="s">
        <v>38</v>
      </c>
      <c r="C10" s="340" t="s">
        <v>41</v>
      </c>
      <c r="D10" s="342">
        <v>130209.64</v>
      </c>
      <c r="E10" s="342">
        <v>44310.78</v>
      </c>
      <c r="F10" s="342">
        <v>690164.45</v>
      </c>
    </row>
    <row r="11" spans="1:7" x14ac:dyDescent="0.25">
      <c r="A11" s="340" t="s">
        <v>386</v>
      </c>
      <c r="B11" s="340" t="s">
        <v>39</v>
      </c>
      <c r="C11" s="340" t="s">
        <v>41</v>
      </c>
      <c r="D11" s="342">
        <v>52785.37</v>
      </c>
      <c r="E11" s="342">
        <v>17553.72</v>
      </c>
      <c r="F11" s="342">
        <v>88111.32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864684.86999999988</v>
      </c>
      <c r="E14" s="390"/>
      <c r="F14" s="417"/>
    </row>
    <row r="15" spans="1:7" x14ac:dyDescent="0.25">
      <c r="A15" s="336" t="s">
        <v>39</v>
      </c>
      <c r="B15" s="415">
        <f>SUM(D11:F11)</f>
        <v>158450.41</v>
      </c>
    </row>
    <row r="16" spans="1:7" x14ac:dyDescent="0.25">
      <c r="A16" s="336" t="s">
        <v>2</v>
      </c>
      <c r="B16" s="415">
        <f>SUM(D9:F9)</f>
        <v>17834.190000000002</v>
      </c>
    </row>
    <row r="17" spans="1:6" x14ac:dyDescent="0.25">
      <c r="A17" s="336" t="s">
        <v>3</v>
      </c>
      <c r="B17" s="415">
        <f>SUM(D8:F8)</f>
        <v>16838.79</v>
      </c>
    </row>
    <row r="18" spans="1:6" ht="15.75" thickBot="1" x14ac:dyDescent="0.3">
      <c r="A18" s="361"/>
      <c r="B18" s="416">
        <f>SUM(B14:B17)</f>
        <v>1057808.26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G23"/>
  <sheetViews>
    <sheetView zoomScaleNormal="100" workbookViewId="0">
      <selection activeCell="E22" sqref="E22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386</v>
      </c>
      <c r="B8" s="340" t="s">
        <v>38</v>
      </c>
      <c r="C8" s="340" t="s">
        <v>3</v>
      </c>
      <c r="D8" s="342">
        <v>1994.32</v>
      </c>
      <c r="E8" s="342">
        <v>0</v>
      </c>
      <c r="F8" s="342">
        <v>15883.06</v>
      </c>
    </row>
    <row r="9" spans="1:7" x14ac:dyDescent="0.25">
      <c r="A9" s="340" t="s">
        <v>386</v>
      </c>
      <c r="B9" s="340" t="s">
        <v>38</v>
      </c>
      <c r="C9" s="340" t="s">
        <v>323</v>
      </c>
      <c r="D9" s="342">
        <v>7504.69</v>
      </c>
      <c r="E9" s="342">
        <v>4.0199999999999996</v>
      </c>
      <c r="F9" s="342">
        <v>315.97000000000003</v>
      </c>
    </row>
    <row r="10" spans="1:7" x14ac:dyDescent="0.25">
      <c r="A10" s="340" t="s">
        <v>386</v>
      </c>
      <c r="B10" s="340" t="s">
        <v>38</v>
      </c>
      <c r="C10" s="340" t="s">
        <v>41</v>
      </c>
      <c r="D10" s="342">
        <v>47880.75</v>
      </c>
      <c r="E10" s="342">
        <v>50227.24</v>
      </c>
      <c r="F10" s="342">
        <v>700785.85</v>
      </c>
    </row>
    <row r="11" spans="1:7" x14ac:dyDescent="0.25">
      <c r="A11" s="340" t="s">
        <v>386</v>
      </c>
      <c r="B11" s="340" t="s">
        <v>39</v>
      </c>
      <c r="C11" s="340" t="s">
        <v>41</v>
      </c>
      <c r="D11" s="342">
        <v>19273.689999999999</v>
      </c>
      <c r="E11" s="342">
        <v>11269.97</v>
      </c>
      <c r="F11" s="342">
        <v>91164.75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798893.84</v>
      </c>
      <c r="E14" s="390"/>
      <c r="F14" s="417"/>
    </row>
    <row r="15" spans="1:7" x14ac:dyDescent="0.25">
      <c r="A15" s="336" t="s">
        <v>39</v>
      </c>
      <c r="B15" s="415">
        <f>SUM(D11:F11)</f>
        <v>121708.41</v>
      </c>
    </row>
    <row r="16" spans="1:7" x14ac:dyDescent="0.25">
      <c r="A16" s="336" t="s">
        <v>2</v>
      </c>
      <c r="B16" s="415">
        <f>SUM(D9:F9)</f>
        <v>7824.68</v>
      </c>
    </row>
    <row r="17" spans="1:6" x14ac:dyDescent="0.25">
      <c r="A17" s="336" t="s">
        <v>3</v>
      </c>
      <c r="B17" s="415">
        <f>SUM(D8:F8)</f>
        <v>17877.38</v>
      </c>
    </row>
    <row r="18" spans="1:6" ht="15.75" thickBot="1" x14ac:dyDescent="0.3">
      <c r="A18" s="361"/>
      <c r="B18" s="416">
        <f>SUM(B14:B17)</f>
        <v>946304.31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G23"/>
  <sheetViews>
    <sheetView zoomScaleNormal="100" workbookViewId="0">
      <selection activeCell="A7" sqref="A7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386</v>
      </c>
      <c r="B8" s="340" t="s">
        <v>38</v>
      </c>
      <c r="C8" s="340" t="s">
        <v>3</v>
      </c>
      <c r="D8" s="342">
        <v>0</v>
      </c>
      <c r="E8" s="342">
        <v>0</v>
      </c>
      <c r="F8" s="342">
        <v>16693.03</v>
      </c>
    </row>
    <row r="9" spans="1:7" x14ac:dyDescent="0.25">
      <c r="A9" s="340" t="s">
        <v>386</v>
      </c>
      <c r="B9" s="340" t="s">
        <v>38</v>
      </c>
      <c r="C9" s="340" t="s">
        <v>323</v>
      </c>
      <c r="D9" s="342">
        <v>482.74</v>
      </c>
      <c r="E9" s="342">
        <v>0</v>
      </c>
      <c r="F9" s="342">
        <v>404.91</v>
      </c>
    </row>
    <row r="10" spans="1:7" x14ac:dyDescent="0.25">
      <c r="A10" s="340" t="s">
        <v>386</v>
      </c>
      <c r="B10" s="340" t="s">
        <v>38</v>
      </c>
      <c r="C10" s="340" t="s">
        <v>41</v>
      </c>
      <c r="D10" s="342">
        <v>59717.599999999999</v>
      </c>
      <c r="E10" s="342">
        <v>91623.64</v>
      </c>
      <c r="F10" s="342">
        <v>662170.64</v>
      </c>
    </row>
    <row r="11" spans="1:7" x14ac:dyDescent="0.25">
      <c r="A11" s="340" t="s">
        <v>386</v>
      </c>
      <c r="B11" s="340" t="s">
        <v>39</v>
      </c>
      <c r="C11" s="340" t="s">
        <v>41</v>
      </c>
      <c r="D11" s="342">
        <v>13564.01</v>
      </c>
      <c r="E11" s="342">
        <v>30571.26</v>
      </c>
      <c r="F11" s="342">
        <v>78171.710000000006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813511.88</v>
      </c>
      <c r="E14" s="390"/>
      <c r="F14" s="417"/>
    </row>
    <row r="15" spans="1:7" x14ac:dyDescent="0.25">
      <c r="A15" s="336" t="s">
        <v>39</v>
      </c>
      <c r="B15" s="415">
        <f>SUM(D11:F11)</f>
        <v>122306.98000000001</v>
      </c>
    </row>
    <row r="16" spans="1:7" x14ac:dyDescent="0.25">
      <c r="A16" s="336" t="s">
        <v>2</v>
      </c>
      <c r="B16" s="415">
        <f>SUM(D9:F9)</f>
        <v>887.65000000000009</v>
      </c>
    </row>
    <row r="17" spans="1:6" x14ac:dyDescent="0.25">
      <c r="A17" s="336" t="s">
        <v>3</v>
      </c>
      <c r="B17" s="415">
        <f>SUM(D8:F8)</f>
        <v>16693.03</v>
      </c>
    </row>
    <row r="18" spans="1:6" ht="15.75" thickBot="1" x14ac:dyDescent="0.3">
      <c r="A18" s="361"/>
      <c r="B18" s="416">
        <f>SUM(B14:B17)</f>
        <v>953399.54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G23"/>
  <sheetViews>
    <sheetView zoomScaleNormal="100" workbookViewId="0">
      <selection activeCell="F9" sqref="F9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386</v>
      </c>
      <c r="B8" s="340" t="s">
        <v>38</v>
      </c>
      <c r="C8" s="340" t="s">
        <v>3</v>
      </c>
      <c r="D8" s="342">
        <v>0</v>
      </c>
      <c r="E8" s="342">
        <v>1973.75</v>
      </c>
      <c r="F8" s="342">
        <v>15814.39</v>
      </c>
    </row>
    <row r="9" spans="1:7" x14ac:dyDescent="0.25">
      <c r="A9" s="340" t="s">
        <v>386</v>
      </c>
      <c r="B9" s="340" t="s">
        <v>38</v>
      </c>
      <c r="C9" s="340" t="s">
        <v>323</v>
      </c>
      <c r="D9" s="342">
        <v>0</v>
      </c>
      <c r="E9" s="342">
        <v>202.23</v>
      </c>
      <c r="F9" s="342">
        <v>5191.66</v>
      </c>
    </row>
    <row r="10" spans="1:7" x14ac:dyDescent="0.25">
      <c r="A10" s="340" t="s">
        <v>386</v>
      </c>
      <c r="B10" s="340" t="s">
        <v>38</v>
      </c>
      <c r="C10" s="340" t="s">
        <v>41</v>
      </c>
      <c r="D10" s="342">
        <v>108285.16</v>
      </c>
      <c r="E10" s="342">
        <v>42821.93</v>
      </c>
      <c r="F10" s="342">
        <v>696890.78</v>
      </c>
    </row>
    <row r="11" spans="1:7" x14ac:dyDescent="0.25">
      <c r="A11" s="340" t="s">
        <v>386</v>
      </c>
      <c r="B11" s="340" t="s">
        <v>39</v>
      </c>
      <c r="C11" s="340" t="s">
        <v>41</v>
      </c>
      <c r="D11" s="342">
        <v>32769.339999999997</v>
      </c>
      <c r="E11" s="342">
        <v>7760.87</v>
      </c>
      <c r="F11" s="342">
        <v>82183.33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847997.87</v>
      </c>
      <c r="E14" s="390"/>
      <c r="F14" s="417"/>
    </row>
    <row r="15" spans="1:7" x14ac:dyDescent="0.25">
      <c r="A15" s="336" t="s">
        <v>39</v>
      </c>
      <c r="B15" s="415">
        <f>SUM(D11:F11)</f>
        <v>122713.54000000001</v>
      </c>
    </row>
    <row r="16" spans="1:7" x14ac:dyDescent="0.25">
      <c r="A16" s="336" t="s">
        <v>2</v>
      </c>
      <c r="B16" s="415">
        <f>SUM(D9:F9)</f>
        <v>5393.8899999999994</v>
      </c>
    </row>
    <row r="17" spans="1:6" x14ac:dyDescent="0.25">
      <c r="A17" s="336" t="s">
        <v>3</v>
      </c>
      <c r="B17" s="415">
        <f>SUM(D8:F8)</f>
        <v>17788.14</v>
      </c>
    </row>
    <row r="18" spans="1:6" ht="15.75" thickBot="1" x14ac:dyDescent="0.3">
      <c r="A18" s="361"/>
      <c r="B18" s="416">
        <f>SUM(B14:B17)</f>
        <v>993893.44000000006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523F4-4D53-4506-A99A-5182ED26185D}">
  <dimension ref="A1:G23"/>
  <sheetViews>
    <sheetView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439</v>
      </c>
      <c r="B8" s="340" t="s">
        <v>38</v>
      </c>
      <c r="C8" s="340" t="s">
        <v>3</v>
      </c>
      <c r="D8" s="342">
        <v>0</v>
      </c>
      <c r="E8" s="342">
        <v>20</v>
      </c>
      <c r="F8" s="342">
        <v>2464.75</v>
      </c>
    </row>
    <row r="9" spans="1:7" x14ac:dyDescent="0.25">
      <c r="A9" s="340" t="s">
        <v>439</v>
      </c>
      <c r="B9" s="340" t="s">
        <v>38</v>
      </c>
      <c r="C9" s="340" t="s">
        <v>323</v>
      </c>
      <c r="D9" s="342">
        <v>257.42</v>
      </c>
      <c r="E9" s="342">
        <v>10.45</v>
      </c>
      <c r="F9" s="342">
        <v>8753.98</v>
      </c>
    </row>
    <row r="10" spans="1:7" x14ac:dyDescent="0.25">
      <c r="A10" s="340" t="s">
        <v>439</v>
      </c>
      <c r="B10" s="340" t="s">
        <v>38</v>
      </c>
      <c r="C10" s="340" t="s">
        <v>41</v>
      </c>
      <c r="D10" s="342">
        <v>78227.02</v>
      </c>
      <c r="E10" s="342">
        <v>73129.88</v>
      </c>
      <c r="F10" s="342">
        <v>1282556.44</v>
      </c>
    </row>
    <row r="11" spans="1:7" x14ac:dyDescent="0.25">
      <c r="A11" s="340" t="s">
        <v>439</v>
      </c>
      <c r="B11" s="340" t="s">
        <v>39</v>
      </c>
      <c r="C11" s="340" t="s">
        <v>41</v>
      </c>
      <c r="D11" s="342">
        <v>12784.1</v>
      </c>
      <c r="E11" s="342">
        <v>15075.25</v>
      </c>
      <c r="F11" s="342">
        <v>101384.98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1433913.3399999999</v>
      </c>
      <c r="E14" s="390"/>
      <c r="F14" s="417"/>
    </row>
    <row r="15" spans="1:7" x14ac:dyDescent="0.25">
      <c r="A15" s="336" t="s">
        <v>39</v>
      </c>
      <c r="B15" s="415">
        <f>SUM(D11:F11)</f>
        <v>129244.32999999999</v>
      </c>
    </row>
    <row r="16" spans="1:7" x14ac:dyDescent="0.25">
      <c r="A16" s="336" t="s">
        <v>2</v>
      </c>
      <c r="B16" s="415">
        <f>SUM(D9:F9)</f>
        <v>9021.85</v>
      </c>
    </row>
    <row r="17" spans="1:6" x14ac:dyDescent="0.25">
      <c r="A17" s="336" t="s">
        <v>3</v>
      </c>
      <c r="B17" s="415">
        <f>SUM(D8:F8)</f>
        <v>2484.75</v>
      </c>
    </row>
    <row r="18" spans="1:6" ht="15.75" thickBot="1" x14ac:dyDescent="0.3">
      <c r="A18" s="361"/>
      <c r="B18" s="416">
        <f>SUM(B14:B17)</f>
        <v>1574664.27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G26"/>
  <sheetViews>
    <sheetView zoomScaleNormal="100" workbookViewId="0">
      <selection activeCell="E16" sqref="E16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386</v>
      </c>
      <c r="B8" s="340" t="s">
        <v>38</v>
      </c>
      <c r="C8" s="340" t="s">
        <v>3</v>
      </c>
      <c r="D8" s="342">
        <v>2299.5</v>
      </c>
      <c r="E8" s="342">
        <v>0</v>
      </c>
      <c r="F8" s="342">
        <v>15985.41</v>
      </c>
    </row>
    <row r="9" spans="1:7" x14ac:dyDescent="0.25">
      <c r="A9" s="340" t="s">
        <v>386</v>
      </c>
      <c r="B9" s="340" t="s">
        <v>38</v>
      </c>
      <c r="C9" s="340" t="s">
        <v>323</v>
      </c>
      <c r="D9" s="342">
        <v>222.79</v>
      </c>
      <c r="E9" s="342">
        <v>4900</v>
      </c>
      <c r="F9" s="342">
        <v>10182.030000000001</v>
      </c>
    </row>
    <row r="10" spans="1:7" x14ac:dyDescent="0.25">
      <c r="A10" s="340" t="s">
        <v>386</v>
      </c>
      <c r="B10" s="340" t="s">
        <v>38</v>
      </c>
      <c r="C10" s="340" t="s">
        <v>41</v>
      </c>
      <c r="D10" s="342">
        <v>66427.91</v>
      </c>
      <c r="E10" s="342">
        <v>46825.14</v>
      </c>
      <c r="F10" s="342">
        <v>709483.89</v>
      </c>
    </row>
    <row r="11" spans="1:7" x14ac:dyDescent="0.25">
      <c r="A11" s="340" t="s">
        <v>386</v>
      </c>
      <c r="B11" s="340" t="s">
        <v>39</v>
      </c>
      <c r="C11" s="340" t="s">
        <v>41</v>
      </c>
      <c r="D11" s="342">
        <v>11459.07</v>
      </c>
      <c r="E11" s="342">
        <v>11898.39</v>
      </c>
      <c r="F11" s="342">
        <v>89448.8</v>
      </c>
    </row>
    <row r="16" spans="1:7" x14ac:dyDescent="0.25">
      <c r="A16" s="354" t="s">
        <v>79</v>
      </c>
      <c r="B16" s="355" t="s">
        <v>80</v>
      </c>
      <c r="E16" s="390" t="s">
        <v>356</v>
      </c>
      <c r="F16" s="433">
        <v>165</v>
      </c>
    </row>
    <row r="17" spans="1:6" x14ac:dyDescent="0.25">
      <c r="A17" s="336" t="s">
        <v>38</v>
      </c>
      <c r="B17" s="415">
        <f>SUM(D10:F10)</f>
        <v>822736.94000000006</v>
      </c>
      <c r="E17" s="390"/>
      <c r="F17" s="417"/>
    </row>
    <row r="18" spans="1:6" x14ac:dyDescent="0.25">
      <c r="A18" s="336" t="s">
        <v>39</v>
      </c>
      <c r="B18" s="415">
        <f>SUM(D11:F11)</f>
        <v>112806.26000000001</v>
      </c>
    </row>
    <row r="19" spans="1:6" x14ac:dyDescent="0.25">
      <c r="A19" s="336" t="s">
        <v>2</v>
      </c>
      <c r="B19" s="415">
        <f>SUM(D9:F9)</f>
        <v>15304.82</v>
      </c>
    </row>
    <row r="20" spans="1:6" x14ac:dyDescent="0.25">
      <c r="A20" s="336" t="s">
        <v>3</v>
      </c>
      <c r="B20" s="415">
        <f>SUM(D8:F8)</f>
        <v>18284.91</v>
      </c>
    </row>
    <row r="21" spans="1:6" ht="15.75" thickBot="1" x14ac:dyDescent="0.3">
      <c r="A21" s="361"/>
      <c r="B21" s="416">
        <f>SUM(B17:B20)</f>
        <v>969132.93</v>
      </c>
    </row>
    <row r="22" spans="1:6" x14ac:dyDescent="0.25">
      <c r="B22" s="429"/>
    </row>
    <row r="25" spans="1:6" x14ac:dyDescent="0.25">
      <c r="D25" s="345"/>
      <c r="E25" s="345"/>
      <c r="F25" s="345"/>
    </row>
    <row r="26" spans="1:6" x14ac:dyDescent="0.25">
      <c r="B26" s="414"/>
      <c r="D26" s="345"/>
      <c r="E26" s="345"/>
      <c r="F26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G26"/>
  <sheetViews>
    <sheetView zoomScaleNormal="100" workbookViewId="0">
      <selection activeCell="H15" sqref="H15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386</v>
      </c>
      <c r="B8" s="340" t="s">
        <v>38</v>
      </c>
      <c r="C8" s="340" t="s">
        <v>3</v>
      </c>
      <c r="D8" s="342">
        <v>0</v>
      </c>
      <c r="E8" s="342">
        <v>0</v>
      </c>
      <c r="F8" s="342">
        <v>16220.39</v>
      </c>
    </row>
    <row r="9" spans="1:7" x14ac:dyDescent="0.25">
      <c r="A9" s="340" t="s">
        <v>386</v>
      </c>
      <c r="B9" s="340" t="s">
        <v>38</v>
      </c>
      <c r="C9" s="340" t="s">
        <v>323</v>
      </c>
      <c r="D9" s="342">
        <v>5873.66</v>
      </c>
      <c r="E9" s="342">
        <v>9717.15</v>
      </c>
      <c r="F9" s="342">
        <v>788.17</v>
      </c>
    </row>
    <row r="10" spans="1:7" x14ac:dyDescent="0.25">
      <c r="A10" s="340" t="s">
        <v>386</v>
      </c>
      <c r="B10" s="340" t="s">
        <v>38</v>
      </c>
      <c r="C10" s="340" t="s">
        <v>41</v>
      </c>
      <c r="D10" s="342">
        <v>53430.31</v>
      </c>
      <c r="E10" s="342">
        <v>92164.73</v>
      </c>
      <c r="F10" s="342">
        <v>668641.89</v>
      </c>
    </row>
    <row r="11" spans="1:7" x14ac:dyDescent="0.25">
      <c r="A11" s="340" t="s">
        <v>386</v>
      </c>
      <c r="B11" s="340" t="s">
        <v>39</v>
      </c>
      <c r="C11" s="340" t="s">
        <v>41</v>
      </c>
      <c r="D11" s="342">
        <v>14381.39</v>
      </c>
      <c r="E11" s="342">
        <v>19421.28</v>
      </c>
      <c r="F11" s="342">
        <v>81286.350000000006</v>
      </c>
    </row>
    <row r="16" spans="1:7" x14ac:dyDescent="0.25">
      <c r="A16" s="354" t="s">
        <v>79</v>
      </c>
      <c r="B16" s="355" t="s">
        <v>80</v>
      </c>
      <c r="E16" s="390" t="s">
        <v>356</v>
      </c>
      <c r="F16" s="433">
        <v>165</v>
      </c>
    </row>
    <row r="17" spans="1:6" x14ac:dyDescent="0.25">
      <c r="A17" s="336" t="s">
        <v>38</v>
      </c>
      <c r="B17" s="415">
        <f>SUM(D10:F10)</f>
        <v>814236.92999999993</v>
      </c>
      <c r="E17" s="390"/>
      <c r="F17" s="417"/>
    </row>
    <row r="18" spans="1:6" x14ac:dyDescent="0.25">
      <c r="A18" s="336" t="s">
        <v>39</v>
      </c>
      <c r="B18" s="415">
        <f>SUM(D11:F11)</f>
        <v>115089.02</v>
      </c>
    </row>
    <row r="19" spans="1:6" x14ac:dyDescent="0.25">
      <c r="A19" s="336" t="s">
        <v>2</v>
      </c>
      <c r="B19" s="415">
        <f>SUM(D9:F9)</f>
        <v>16378.98</v>
      </c>
    </row>
    <row r="20" spans="1:6" x14ac:dyDescent="0.25">
      <c r="A20" s="336" t="s">
        <v>3</v>
      </c>
      <c r="B20" s="415">
        <f>SUM(D8:F8)</f>
        <v>16220.39</v>
      </c>
    </row>
    <row r="21" spans="1:6" ht="15.75" thickBot="1" x14ac:dyDescent="0.3">
      <c r="A21" s="361"/>
      <c r="B21" s="416">
        <f>SUM(B17:B20)</f>
        <v>961925.32</v>
      </c>
    </row>
    <row r="22" spans="1:6" x14ac:dyDescent="0.25">
      <c r="B22" s="429"/>
    </row>
    <row r="25" spans="1:6" x14ac:dyDescent="0.25">
      <c r="D25" s="345"/>
      <c r="E25" s="345"/>
      <c r="F25" s="345"/>
    </row>
    <row r="26" spans="1:6" x14ac:dyDescent="0.25">
      <c r="B26" s="414"/>
      <c r="D26" s="345"/>
      <c r="E26" s="345"/>
      <c r="F26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G26"/>
  <sheetViews>
    <sheetView zoomScaleNormal="100" workbookViewId="0">
      <selection activeCell="F16" sqref="F16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386</v>
      </c>
      <c r="B8" s="340" t="s">
        <v>38</v>
      </c>
      <c r="C8" s="340" t="s">
        <v>3</v>
      </c>
      <c r="D8" s="342">
        <v>0</v>
      </c>
      <c r="E8" s="342">
        <v>1650.56</v>
      </c>
      <c r="F8" s="342">
        <v>14752.11</v>
      </c>
    </row>
    <row r="9" spans="1:7" x14ac:dyDescent="0.25">
      <c r="A9" s="340" t="s">
        <v>386</v>
      </c>
      <c r="B9" s="340" t="s">
        <v>38</v>
      </c>
      <c r="C9" s="340" t="s">
        <v>323</v>
      </c>
      <c r="D9" s="342">
        <v>10091.67</v>
      </c>
      <c r="E9" s="342">
        <v>216.54</v>
      </c>
      <c r="F9" s="342">
        <v>8001.83</v>
      </c>
    </row>
    <row r="10" spans="1:7" x14ac:dyDescent="0.25">
      <c r="A10" s="340" t="s">
        <v>386</v>
      </c>
      <c r="B10" s="340" t="s">
        <v>38</v>
      </c>
      <c r="C10" s="340" t="s">
        <v>41</v>
      </c>
      <c r="D10" s="342">
        <v>125627.42</v>
      </c>
      <c r="E10" s="342">
        <v>30788.98</v>
      </c>
      <c r="F10" s="342">
        <v>688346.73</v>
      </c>
    </row>
    <row r="11" spans="1:7" x14ac:dyDescent="0.25">
      <c r="A11" s="340" t="s">
        <v>386</v>
      </c>
      <c r="B11" s="340" t="s">
        <v>39</v>
      </c>
      <c r="C11" s="340" t="s">
        <v>41</v>
      </c>
      <c r="D11" s="342">
        <v>22110.37</v>
      </c>
      <c r="E11" s="342">
        <v>7113.86</v>
      </c>
      <c r="F11" s="342">
        <v>84695.94</v>
      </c>
    </row>
    <row r="16" spans="1:7" x14ac:dyDescent="0.25">
      <c r="A16" s="354" t="s">
        <v>79</v>
      </c>
      <c r="B16" s="355" t="s">
        <v>80</v>
      </c>
      <c r="E16" s="390" t="s">
        <v>356</v>
      </c>
      <c r="F16" s="433">
        <v>176</v>
      </c>
    </row>
    <row r="17" spans="1:6" x14ac:dyDescent="0.25">
      <c r="A17" s="336" t="s">
        <v>38</v>
      </c>
      <c r="B17" s="415">
        <f>SUM(D10:F10)</f>
        <v>844763.13</v>
      </c>
      <c r="E17" s="390"/>
      <c r="F17" s="417"/>
    </row>
    <row r="18" spans="1:6" x14ac:dyDescent="0.25">
      <c r="A18" s="336" t="s">
        <v>39</v>
      </c>
      <c r="B18" s="415">
        <f>SUM(D11:F11)</f>
        <v>113920.17</v>
      </c>
    </row>
    <row r="19" spans="1:6" x14ac:dyDescent="0.25">
      <c r="A19" s="336" t="s">
        <v>2</v>
      </c>
      <c r="B19" s="415">
        <f>SUM(D9:F9)</f>
        <v>18310.04</v>
      </c>
    </row>
    <row r="20" spans="1:6" x14ac:dyDescent="0.25">
      <c r="A20" s="336" t="s">
        <v>3</v>
      </c>
      <c r="B20" s="415">
        <f>SUM(D8:F8)</f>
        <v>16402.670000000002</v>
      </c>
    </row>
    <row r="21" spans="1:6" ht="15.75" thickBot="1" x14ac:dyDescent="0.3">
      <c r="A21" s="361"/>
      <c r="B21" s="416">
        <f>SUM(B17:B20)</f>
        <v>993396.01000000013</v>
      </c>
    </row>
    <row r="22" spans="1:6" x14ac:dyDescent="0.25">
      <c r="B22" s="429"/>
    </row>
    <row r="25" spans="1:6" x14ac:dyDescent="0.25">
      <c r="D25" s="345"/>
      <c r="E25" s="345"/>
      <c r="F25" s="345"/>
    </row>
    <row r="26" spans="1:6" x14ac:dyDescent="0.25">
      <c r="B26" s="414"/>
      <c r="D26" s="345"/>
      <c r="E26" s="345"/>
      <c r="F26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G26"/>
  <sheetViews>
    <sheetView zoomScaleNormal="100" workbookViewId="0">
      <selection activeCell="B13" sqref="B13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386</v>
      </c>
      <c r="B8" s="340" t="s">
        <v>38</v>
      </c>
      <c r="C8" s="340" t="s">
        <v>3</v>
      </c>
      <c r="D8" s="342">
        <v>2062.9299999999998</v>
      </c>
      <c r="E8" s="342">
        <v>0</v>
      </c>
      <c r="F8" s="342">
        <v>15107.38</v>
      </c>
    </row>
    <row r="9" spans="1:7" x14ac:dyDescent="0.25">
      <c r="A9" s="340" t="s">
        <v>386</v>
      </c>
      <c r="B9" s="340" t="s">
        <v>38</v>
      </c>
      <c r="C9" s="340" t="s">
        <v>323</v>
      </c>
      <c r="D9" s="342">
        <v>318.22000000000003</v>
      </c>
      <c r="E9" s="342">
        <v>8330.7800000000007</v>
      </c>
      <c r="F9" s="342">
        <v>386.05</v>
      </c>
    </row>
    <row r="10" spans="1:7" x14ac:dyDescent="0.25">
      <c r="A10" s="340" t="s">
        <v>386</v>
      </c>
      <c r="B10" s="340" t="s">
        <v>38</v>
      </c>
      <c r="C10" s="340" t="s">
        <v>41</v>
      </c>
      <c r="D10" s="342">
        <v>37662.839999999997</v>
      </c>
      <c r="E10" s="342">
        <v>58748.83</v>
      </c>
      <c r="F10" s="342">
        <v>679200.97</v>
      </c>
    </row>
    <row r="11" spans="1:7" x14ac:dyDescent="0.25">
      <c r="A11" s="340" t="s">
        <v>386</v>
      </c>
      <c r="B11" s="340" t="s">
        <v>39</v>
      </c>
      <c r="C11" s="340" t="s">
        <v>41</v>
      </c>
      <c r="D11" s="342">
        <v>9365.24</v>
      </c>
      <c r="E11" s="342">
        <v>11261.55</v>
      </c>
      <c r="F11" s="342">
        <v>83957.440000000002</v>
      </c>
    </row>
    <row r="16" spans="1:7" x14ac:dyDescent="0.25">
      <c r="A16" s="354" t="s">
        <v>79</v>
      </c>
      <c r="B16" s="355" t="s">
        <v>80</v>
      </c>
      <c r="E16" s="390" t="s">
        <v>356</v>
      </c>
      <c r="F16" s="417">
        <v>193</v>
      </c>
    </row>
    <row r="17" spans="1:6" x14ac:dyDescent="0.25">
      <c r="A17" s="336" t="s">
        <v>38</v>
      </c>
      <c r="B17" s="415">
        <f>SUM(D10:F10)</f>
        <v>775612.64</v>
      </c>
      <c r="E17" s="390"/>
      <c r="F17" s="417"/>
    </row>
    <row r="18" spans="1:6" x14ac:dyDescent="0.25">
      <c r="A18" s="336" t="s">
        <v>39</v>
      </c>
      <c r="B18" s="415">
        <f>SUM(D11:F11)</f>
        <v>104584.23000000001</v>
      </c>
    </row>
    <row r="19" spans="1:6" x14ac:dyDescent="0.25">
      <c r="A19" s="336" t="s">
        <v>2</v>
      </c>
      <c r="B19" s="415">
        <f>SUM(D9:F9)</f>
        <v>9035.0499999999993</v>
      </c>
    </row>
    <row r="20" spans="1:6" x14ac:dyDescent="0.25">
      <c r="A20" s="336" t="s">
        <v>3</v>
      </c>
      <c r="B20" s="415">
        <f>SUM(D8:F8)</f>
        <v>17170.309999999998</v>
      </c>
    </row>
    <row r="21" spans="1:6" ht="15.75" thickBot="1" x14ac:dyDescent="0.3">
      <c r="A21" s="361"/>
      <c r="B21" s="416">
        <f>SUM(B17:B20)</f>
        <v>906402.23</v>
      </c>
    </row>
    <row r="22" spans="1:6" x14ac:dyDescent="0.25">
      <c r="B22" s="429"/>
    </row>
    <row r="25" spans="1:6" x14ac:dyDescent="0.25">
      <c r="D25" s="345"/>
      <c r="E25" s="345"/>
      <c r="F25" s="345"/>
    </row>
    <row r="26" spans="1:6" x14ac:dyDescent="0.25">
      <c r="B26" s="414"/>
      <c r="D26" s="345"/>
      <c r="E26" s="345"/>
      <c r="F26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G26"/>
  <sheetViews>
    <sheetView zoomScaleNormal="100" workbookViewId="0">
      <selection activeCell="B13" sqref="B13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7"/>
      <c r="C1" s="487"/>
      <c r="D1" s="487"/>
      <c r="E1" s="487"/>
      <c r="F1" s="488"/>
    </row>
    <row r="2" spans="1:7" x14ac:dyDescent="0.25">
      <c r="A2" s="480" t="s">
        <v>73</v>
      </c>
      <c r="B2" s="481"/>
      <c r="C2" s="481"/>
      <c r="D2" s="481"/>
      <c r="E2" s="481"/>
      <c r="F2" s="482"/>
    </row>
    <row r="3" spans="1:7" x14ac:dyDescent="0.25">
      <c r="A3" s="480" t="s">
        <v>341</v>
      </c>
      <c r="B3" s="481"/>
      <c r="C3" s="481"/>
      <c r="D3" s="481"/>
      <c r="E3" s="481"/>
      <c r="F3" s="482"/>
    </row>
    <row r="4" spans="1:7" x14ac:dyDescent="0.25">
      <c r="A4" s="480" t="s">
        <v>92</v>
      </c>
      <c r="B4" s="481"/>
      <c r="C4" s="481"/>
      <c r="D4" s="481"/>
      <c r="E4" s="481"/>
      <c r="F4" s="482"/>
    </row>
    <row r="5" spans="1:7" ht="15.75" thickBot="1" x14ac:dyDescent="0.3">
      <c r="A5" s="483" t="s">
        <v>76</v>
      </c>
      <c r="B5" s="484"/>
      <c r="C5" s="484"/>
      <c r="D5" s="484"/>
      <c r="E5" s="484"/>
      <c r="F5" s="485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386</v>
      </c>
      <c r="B8" s="340" t="s">
        <v>38</v>
      </c>
      <c r="C8" s="340" t="s">
        <v>3</v>
      </c>
      <c r="D8" s="342">
        <v>0</v>
      </c>
      <c r="E8" s="342">
        <v>0</v>
      </c>
      <c r="F8" s="342">
        <v>15259.83</v>
      </c>
    </row>
    <row r="9" spans="1:7" x14ac:dyDescent="0.25">
      <c r="A9" s="340" t="s">
        <v>386</v>
      </c>
      <c r="B9" s="340" t="s">
        <v>38</v>
      </c>
      <c r="C9" s="340" t="s">
        <v>323</v>
      </c>
      <c r="D9" s="342">
        <v>8433.2000000000007</v>
      </c>
      <c r="E9" s="342">
        <v>216.61</v>
      </c>
      <c r="F9" s="342">
        <v>376.14</v>
      </c>
    </row>
    <row r="10" spans="1:7" x14ac:dyDescent="0.25">
      <c r="A10" s="340" t="s">
        <v>386</v>
      </c>
      <c r="B10" s="340" t="s">
        <v>38</v>
      </c>
      <c r="C10" s="340" t="s">
        <v>41</v>
      </c>
      <c r="D10" s="342">
        <v>73858.34</v>
      </c>
      <c r="E10" s="342">
        <v>97160.76</v>
      </c>
      <c r="F10" s="342">
        <v>640360.38</v>
      </c>
    </row>
    <row r="11" spans="1:7" x14ac:dyDescent="0.25">
      <c r="A11" s="340" t="s">
        <v>386</v>
      </c>
      <c r="B11" s="340" t="s">
        <v>39</v>
      </c>
      <c r="C11" s="340" t="s">
        <v>41</v>
      </c>
      <c r="D11" s="342">
        <v>14916.09</v>
      </c>
      <c r="E11" s="342">
        <v>17061.88</v>
      </c>
      <c r="F11" s="342">
        <v>78004.88</v>
      </c>
    </row>
    <row r="16" spans="1:7" x14ac:dyDescent="0.25">
      <c r="A16" s="354" t="s">
        <v>79</v>
      </c>
      <c r="B16" s="355" t="s">
        <v>80</v>
      </c>
      <c r="E16" s="390" t="s">
        <v>356</v>
      </c>
      <c r="F16" s="417">
        <v>193</v>
      </c>
    </row>
    <row r="17" spans="1:6" x14ac:dyDescent="0.25">
      <c r="A17" s="336" t="s">
        <v>38</v>
      </c>
      <c r="B17" s="415">
        <f>SUM(D10:F10)</f>
        <v>811379.48</v>
      </c>
      <c r="E17" s="390"/>
      <c r="F17" s="417"/>
    </row>
    <row r="18" spans="1:6" x14ac:dyDescent="0.25">
      <c r="A18" s="336" t="s">
        <v>39</v>
      </c>
      <c r="B18" s="415">
        <f>SUM(D11:F11)</f>
        <v>109982.85</v>
      </c>
    </row>
    <row r="19" spans="1:6" x14ac:dyDescent="0.25">
      <c r="A19" s="336" t="s">
        <v>2</v>
      </c>
      <c r="B19" s="415">
        <f>SUM(D9:F9)</f>
        <v>9025.9500000000007</v>
      </c>
    </row>
    <row r="20" spans="1:6" x14ac:dyDescent="0.25">
      <c r="A20" s="336" t="s">
        <v>3</v>
      </c>
      <c r="B20" s="415">
        <f>SUM(D8:F8)</f>
        <v>15259.83</v>
      </c>
    </row>
    <row r="21" spans="1:6" ht="15.75" thickBot="1" x14ac:dyDescent="0.3">
      <c r="A21" s="361"/>
      <c r="B21" s="416">
        <f>SUM(B17:B20)</f>
        <v>945648.10999999987</v>
      </c>
    </row>
    <row r="22" spans="1:6" x14ac:dyDescent="0.25">
      <c r="B22" s="429"/>
    </row>
    <row r="25" spans="1:6" x14ac:dyDescent="0.25">
      <c r="D25" s="345"/>
      <c r="E25" s="345"/>
      <c r="F25" s="345"/>
    </row>
    <row r="26" spans="1:6" x14ac:dyDescent="0.25">
      <c r="B26" s="414"/>
      <c r="D26" s="345"/>
      <c r="E26" s="345"/>
      <c r="F26" s="345"/>
    </row>
  </sheetData>
  <mergeCells count="5">
    <mergeCell ref="A4:F4"/>
    <mergeCell ref="A5:F5"/>
    <mergeCell ref="A1:F1"/>
    <mergeCell ref="A2:F2"/>
    <mergeCell ref="A3:F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N26"/>
  <sheetViews>
    <sheetView zoomScaleNormal="100" workbookViewId="0">
      <selection activeCell="H18" sqref="H18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4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4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4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4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4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4" x14ac:dyDescent="0.25">
      <c r="G6" s="337"/>
    </row>
    <row r="7" spans="1:14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14" x14ac:dyDescent="0.25">
      <c r="A8" s="340" t="s">
        <v>386</v>
      </c>
      <c r="B8" s="340" t="s">
        <v>38</v>
      </c>
      <c r="C8" s="340" t="s">
        <v>3</v>
      </c>
      <c r="D8" s="342">
        <v>0</v>
      </c>
      <c r="E8" s="342">
        <v>939.88</v>
      </c>
      <c r="F8" s="342">
        <v>14379.95</v>
      </c>
    </row>
    <row r="9" spans="1:14" x14ac:dyDescent="0.25">
      <c r="A9" s="340" t="s">
        <v>386</v>
      </c>
      <c r="B9" s="340" t="s">
        <v>38</v>
      </c>
      <c r="C9" s="340" t="s">
        <v>323</v>
      </c>
      <c r="D9" s="342">
        <v>24838.59</v>
      </c>
      <c r="E9" s="342">
        <v>314.10000000000002</v>
      </c>
      <c r="F9" s="342">
        <v>1302.08</v>
      </c>
    </row>
    <row r="10" spans="1:14" x14ac:dyDescent="0.25">
      <c r="A10" s="340" t="s">
        <v>386</v>
      </c>
      <c r="B10" s="340" t="s">
        <v>38</v>
      </c>
      <c r="C10" s="340" t="s">
        <v>41</v>
      </c>
      <c r="D10" s="342">
        <v>129622.92</v>
      </c>
      <c r="E10" s="342">
        <v>45748.47</v>
      </c>
      <c r="F10" s="342">
        <v>667837.91</v>
      </c>
    </row>
    <row r="11" spans="1:14" x14ac:dyDescent="0.25">
      <c r="A11" s="340" t="s">
        <v>386</v>
      </c>
      <c r="B11" s="340" t="s">
        <v>39</v>
      </c>
      <c r="C11" s="340" t="s">
        <v>41</v>
      </c>
      <c r="D11" s="342">
        <v>20305.14</v>
      </c>
      <c r="E11" s="342">
        <v>9193.2999999999993</v>
      </c>
      <c r="F11" s="342">
        <v>84591.97</v>
      </c>
    </row>
    <row r="16" spans="1:14" x14ac:dyDescent="0.25">
      <c r="A16" s="354" t="s">
        <v>79</v>
      </c>
      <c r="B16" s="355" t="s">
        <v>80</v>
      </c>
      <c r="E16" s="390" t="s">
        <v>356</v>
      </c>
      <c r="F16" s="417">
        <v>194</v>
      </c>
    </row>
    <row r="17" spans="1:6" x14ac:dyDescent="0.25">
      <c r="A17" s="336" t="s">
        <v>38</v>
      </c>
      <c r="B17" s="415">
        <f>SUM(D10:F10)</f>
        <v>843209.3</v>
      </c>
      <c r="E17" s="390"/>
      <c r="F17" s="417"/>
    </row>
    <row r="18" spans="1:6" x14ac:dyDescent="0.25">
      <c r="A18" s="336" t="s">
        <v>39</v>
      </c>
      <c r="B18" s="415">
        <f>SUM(D11:F11)</f>
        <v>114090.41</v>
      </c>
    </row>
    <row r="19" spans="1:6" x14ac:dyDescent="0.25">
      <c r="A19" s="336" t="s">
        <v>2</v>
      </c>
      <c r="B19" s="415">
        <f>SUM(D9:F9)</f>
        <v>26454.769999999997</v>
      </c>
    </row>
    <row r="20" spans="1:6" x14ac:dyDescent="0.25">
      <c r="A20" s="336" t="s">
        <v>3</v>
      </c>
      <c r="B20" s="415">
        <f>SUM(D8:F8)</f>
        <v>15319.83</v>
      </c>
    </row>
    <row r="21" spans="1:6" ht="15.75" thickBot="1" x14ac:dyDescent="0.3">
      <c r="A21" s="361"/>
      <c r="B21" s="416">
        <f>SUM(B17:B20)</f>
        <v>999074.31</v>
      </c>
    </row>
    <row r="22" spans="1:6" x14ac:dyDescent="0.25">
      <c r="B22" s="429"/>
    </row>
    <row r="25" spans="1:6" x14ac:dyDescent="0.25">
      <c r="D25" s="345"/>
      <c r="E25" s="345"/>
      <c r="F25" s="345"/>
    </row>
    <row r="26" spans="1:6" x14ac:dyDescent="0.25">
      <c r="B26" s="414"/>
      <c r="D26" s="345"/>
      <c r="E26" s="345"/>
      <c r="F26" s="345"/>
    </row>
  </sheetData>
  <mergeCells count="10">
    <mergeCell ref="A4:F4"/>
    <mergeCell ref="H4:N4"/>
    <mergeCell ref="A5:F5"/>
    <mergeCell ref="H5:N5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P47"/>
  <sheetViews>
    <sheetView zoomScaleNormal="100" workbookViewId="0">
      <selection activeCell="B11" sqref="B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386</v>
      </c>
      <c r="B8" s="340" t="s">
        <v>38</v>
      </c>
      <c r="C8" s="340" t="s">
        <v>3</v>
      </c>
      <c r="D8" s="342">
        <v>2710.22</v>
      </c>
      <c r="E8" s="342">
        <v>9948.8799999999992</v>
      </c>
      <c r="F8" s="342">
        <v>4448.97</v>
      </c>
      <c r="H8" s="343" t="s">
        <v>386</v>
      </c>
      <c r="I8" s="343" t="s">
        <v>21</v>
      </c>
      <c r="J8" s="343" t="s">
        <v>52</v>
      </c>
      <c r="K8" s="343" t="s">
        <v>178</v>
      </c>
      <c r="L8" s="344">
        <v>7192.13</v>
      </c>
      <c r="M8" s="344">
        <v>8401.83</v>
      </c>
      <c r="N8" s="344">
        <v>104676.62</v>
      </c>
    </row>
    <row r="9" spans="1:16" x14ac:dyDescent="0.25">
      <c r="A9" s="340" t="s">
        <v>386</v>
      </c>
      <c r="B9" s="340" t="s">
        <v>38</v>
      </c>
      <c r="C9" s="340" t="s">
        <v>323</v>
      </c>
      <c r="D9" s="342">
        <v>368.19</v>
      </c>
      <c r="E9" s="342">
        <v>1240.48</v>
      </c>
      <c r="F9" s="342">
        <v>64.45</v>
      </c>
      <c r="H9" s="343" t="s">
        <v>386</v>
      </c>
      <c r="I9" s="343" t="s">
        <v>21</v>
      </c>
      <c r="J9" s="343" t="s">
        <v>52</v>
      </c>
      <c r="K9" s="343" t="s">
        <v>210</v>
      </c>
      <c r="L9" s="344">
        <v>7487.02</v>
      </c>
      <c r="M9" s="344">
        <v>11429.5</v>
      </c>
      <c r="N9" s="344">
        <v>128642.97</v>
      </c>
    </row>
    <row r="10" spans="1:16" x14ac:dyDescent="0.25">
      <c r="A10" s="340" t="s">
        <v>386</v>
      </c>
      <c r="B10" s="340" t="s">
        <v>38</v>
      </c>
      <c r="C10" s="340" t="s">
        <v>41</v>
      </c>
      <c r="D10" s="342">
        <v>61232.9</v>
      </c>
      <c r="E10" s="342">
        <v>74476.600000000006</v>
      </c>
      <c r="F10" s="342">
        <v>669745.37</v>
      </c>
      <c r="H10" s="343" t="s">
        <v>386</v>
      </c>
      <c r="I10" s="343" t="s">
        <v>21</v>
      </c>
      <c r="J10" s="343" t="s">
        <v>52</v>
      </c>
      <c r="K10" s="343" t="s">
        <v>72</v>
      </c>
      <c r="L10" s="344">
        <v>8920.18</v>
      </c>
      <c r="M10" s="344">
        <v>342.46</v>
      </c>
      <c r="N10" s="344">
        <v>7341.86</v>
      </c>
      <c r="O10" s="346">
        <f>SUM(L8:N10)</f>
        <v>284434.56999999995</v>
      </c>
      <c r="P10" s="347" t="s">
        <v>355</v>
      </c>
    </row>
    <row r="11" spans="1:16" x14ac:dyDescent="0.25">
      <c r="A11" s="340" t="s">
        <v>386</v>
      </c>
      <c r="B11" s="340" t="s">
        <v>39</v>
      </c>
      <c r="C11" s="340" t="s">
        <v>41</v>
      </c>
      <c r="D11" s="342">
        <v>9731.89</v>
      </c>
      <c r="E11" s="342">
        <v>20548.97</v>
      </c>
      <c r="F11" s="342">
        <v>94914.37</v>
      </c>
      <c r="H11" s="348" t="s">
        <v>386</v>
      </c>
      <c r="I11" s="348" t="s">
        <v>21</v>
      </c>
      <c r="J11" s="348" t="s">
        <v>382</v>
      </c>
      <c r="K11" s="348" t="s">
        <v>383</v>
      </c>
      <c r="L11" s="349">
        <v>1778</v>
      </c>
      <c r="M11" s="349">
        <v>1573.58</v>
      </c>
      <c r="N11" s="349">
        <v>103517.14</v>
      </c>
    </row>
    <row r="12" spans="1:16" x14ac:dyDescent="0.25">
      <c r="H12" s="348" t="s">
        <v>386</v>
      </c>
      <c r="I12" s="348" t="s">
        <v>21</v>
      </c>
      <c r="J12" s="348" t="s">
        <v>382</v>
      </c>
      <c r="K12" s="348" t="s">
        <v>384</v>
      </c>
      <c r="L12" s="349">
        <v>1525.54</v>
      </c>
      <c r="M12" s="349">
        <v>2863.64</v>
      </c>
      <c r="N12" s="349">
        <v>31292.99</v>
      </c>
    </row>
    <row r="13" spans="1:16" x14ac:dyDescent="0.25">
      <c r="H13" s="348" t="s">
        <v>386</v>
      </c>
      <c r="I13" s="348" t="s">
        <v>21</v>
      </c>
      <c r="J13" s="348" t="s">
        <v>382</v>
      </c>
      <c r="K13" s="348" t="s">
        <v>240</v>
      </c>
      <c r="L13" s="349">
        <v>519.92999999999995</v>
      </c>
      <c r="M13" s="349">
        <v>514.16</v>
      </c>
      <c r="N13" s="349">
        <v>16606.82</v>
      </c>
      <c r="O13" s="350">
        <f>SUM(L11:N13)</f>
        <v>160191.79999999999</v>
      </c>
      <c r="P13" s="351" t="s">
        <v>253</v>
      </c>
    </row>
    <row r="14" spans="1:16" x14ac:dyDescent="0.25">
      <c r="H14" s="352" t="s">
        <v>386</v>
      </c>
      <c r="I14" s="352" t="s">
        <v>21</v>
      </c>
      <c r="J14" s="352" t="s">
        <v>55</v>
      </c>
      <c r="K14" s="352" t="s">
        <v>54</v>
      </c>
      <c r="L14" s="353">
        <v>894.93</v>
      </c>
      <c r="M14" s="353">
        <v>1609.06</v>
      </c>
      <c r="N14" s="353">
        <v>863.19</v>
      </c>
    </row>
    <row r="15" spans="1:16" x14ac:dyDescent="0.25">
      <c r="H15" s="352" t="s">
        <v>386</v>
      </c>
      <c r="I15" s="352" t="s">
        <v>21</v>
      </c>
      <c r="J15" s="352" t="s">
        <v>55</v>
      </c>
      <c r="K15" s="352" t="s">
        <v>67</v>
      </c>
      <c r="L15" s="353">
        <v>0</v>
      </c>
      <c r="M15" s="353">
        <v>742.94</v>
      </c>
      <c r="N15" s="353">
        <v>1346.32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386</v>
      </c>
      <c r="I16" s="352" t="s">
        <v>21</v>
      </c>
      <c r="J16" s="352" t="s">
        <v>55</v>
      </c>
      <c r="K16" s="352" t="s">
        <v>68</v>
      </c>
      <c r="L16" s="353">
        <v>96.72</v>
      </c>
      <c r="M16" s="353">
        <v>450.67</v>
      </c>
      <c r="N16" s="353">
        <v>3248.75</v>
      </c>
    </row>
    <row r="17" spans="1:16" x14ac:dyDescent="0.25">
      <c r="A17" s="336" t="s">
        <v>38</v>
      </c>
      <c r="B17" s="415">
        <f>SUM(D10:F10)</f>
        <v>805454.87</v>
      </c>
      <c r="D17" s="502" t="s">
        <v>355</v>
      </c>
      <c r="E17" s="502"/>
      <c r="F17" s="360">
        <f>O10/B21</f>
        <v>0.2995841542150986</v>
      </c>
      <c r="H17" s="352" t="s">
        <v>386</v>
      </c>
      <c r="I17" s="352" t="s">
        <v>21</v>
      </c>
      <c r="J17" s="352" t="s">
        <v>55</v>
      </c>
      <c r="K17" s="352" t="s">
        <v>72</v>
      </c>
      <c r="L17" s="353">
        <v>293.43</v>
      </c>
      <c r="M17" s="353">
        <v>2781.65</v>
      </c>
      <c r="N17" s="353">
        <v>8681.33</v>
      </c>
    </row>
    <row r="18" spans="1:16" x14ac:dyDescent="0.25">
      <c r="A18" s="336" t="s">
        <v>39</v>
      </c>
      <c r="B18" s="415">
        <f>SUM(D11:F11)</f>
        <v>125195.23</v>
      </c>
      <c r="D18" s="481" t="s">
        <v>253</v>
      </c>
      <c r="E18" s="481"/>
      <c r="F18" s="360">
        <f>O13/B21</f>
        <v>0.16872395263063217</v>
      </c>
      <c r="H18" s="352" t="s">
        <v>386</v>
      </c>
      <c r="I18" s="352" t="s">
        <v>21</v>
      </c>
      <c r="J18" s="352" t="s">
        <v>183</v>
      </c>
      <c r="K18" s="352" t="s">
        <v>361</v>
      </c>
      <c r="L18" s="353">
        <v>61.5</v>
      </c>
      <c r="M18" s="353">
        <v>0</v>
      </c>
      <c r="N18" s="353">
        <v>270.72000000000003</v>
      </c>
    </row>
    <row r="19" spans="1:16" x14ac:dyDescent="0.25">
      <c r="A19" s="336" t="s">
        <v>2</v>
      </c>
      <c r="B19" s="415">
        <f>SUM(D9:F9)</f>
        <v>1673.1200000000001</v>
      </c>
      <c r="D19" s="336" t="s">
        <v>85</v>
      </c>
      <c r="F19" s="360">
        <f>O19/B21</f>
        <v>2.4229041366437373E-2</v>
      </c>
      <c r="H19" s="352" t="s">
        <v>386</v>
      </c>
      <c r="I19" s="352" t="s">
        <v>21</v>
      </c>
      <c r="J19" s="352" t="s">
        <v>183</v>
      </c>
      <c r="K19" s="352" t="s">
        <v>72</v>
      </c>
      <c r="L19" s="353">
        <v>0</v>
      </c>
      <c r="M19" s="353">
        <v>144.52000000000001</v>
      </c>
      <c r="N19" s="353">
        <v>1518.08</v>
      </c>
      <c r="O19" s="364">
        <f>SUM(L14:N19)</f>
        <v>23003.809999999998</v>
      </c>
      <c r="P19" s="365" t="s">
        <v>85</v>
      </c>
    </row>
    <row r="20" spans="1:16" x14ac:dyDescent="0.25">
      <c r="A20" s="336" t="s">
        <v>3</v>
      </c>
      <c r="B20" s="415">
        <f>SUM(D8:F8)</f>
        <v>17108.07</v>
      </c>
      <c r="D20" s="481" t="s">
        <v>84</v>
      </c>
      <c r="E20" s="481"/>
      <c r="F20" s="360">
        <f>O23/B21</f>
        <v>0.3437265902622611</v>
      </c>
      <c r="H20" s="366" t="s">
        <v>386</v>
      </c>
      <c r="I20" s="366" t="s">
        <v>43</v>
      </c>
      <c r="J20" s="366" t="s">
        <v>21</v>
      </c>
      <c r="K20" s="366" t="s">
        <v>21</v>
      </c>
      <c r="L20" s="367">
        <v>9882.9599999999991</v>
      </c>
      <c r="M20" s="367">
        <v>22314.25</v>
      </c>
      <c r="N20" s="367">
        <v>100693.65</v>
      </c>
    </row>
    <row r="21" spans="1:16" ht="15.75" thickBot="1" x14ac:dyDescent="0.3">
      <c r="A21" s="361"/>
      <c r="B21" s="416">
        <f>SUM(B17:B20)</f>
        <v>949431.28999999992</v>
      </c>
      <c r="F21" s="363">
        <f>SUM(F17:F20)</f>
        <v>0.83626373847442925</v>
      </c>
      <c r="H21" s="366" t="s">
        <v>386</v>
      </c>
      <c r="I21" s="366" t="s">
        <v>45</v>
      </c>
      <c r="J21" s="366" t="s">
        <v>21</v>
      </c>
      <c r="K21" s="366" t="s">
        <v>21</v>
      </c>
      <c r="L21" s="367">
        <v>11316.88</v>
      </c>
      <c r="M21" s="367">
        <v>20215.78</v>
      </c>
      <c r="N21" s="367">
        <v>102384.27</v>
      </c>
    </row>
    <row r="22" spans="1:16" x14ac:dyDescent="0.25">
      <c r="B22" s="429"/>
      <c r="E22" s="390" t="s">
        <v>356</v>
      </c>
      <c r="F22" s="417">
        <v>192</v>
      </c>
      <c r="H22" s="366" t="s">
        <v>386</v>
      </c>
      <c r="I22" s="366" t="s">
        <v>46</v>
      </c>
      <c r="J22" s="366" t="s">
        <v>21</v>
      </c>
      <c r="K22" s="366" t="s">
        <v>21</v>
      </c>
      <c r="L22" s="367">
        <v>6804.56</v>
      </c>
      <c r="M22" s="367">
        <v>4984.01</v>
      </c>
      <c r="N22" s="367">
        <v>36327.040000000001</v>
      </c>
    </row>
    <row r="23" spans="1:16" x14ac:dyDescent="0.25">
      <c r="E23" s="390"/>
      <c r="F23" s="417"/>
      <c r="H23" s="366" t="s">
        <v>386</v>
      </c>
      <c r="I23" s="366" t="s">
        <v>50</v>
      </c>
      <c r="J23" s="366" t="s">
        <v>21</v>
      </c>
      <c r="K23" s="366" t="s">
        <v>21</v>
      </c>
      <c r="L23" s="367">
        <v>4775.4399999999996</v>
      </c>
      <c r="M23" s="367">
        <v>1659.99</v>
      </c>
      <c r="N23" s="367">
        <v>4985.95</v>
      </c>
      <c r="O23" s="368">
        <f>SUM(L20:N23)</f>
        <v>326344.77999999997</v>
      </c>
      <c r="P23" s="369" t="s">
        <v>84</v>
      </c>
    </row>
    <row r="24" spans="1:16" x14ac:dyDescent="0.25">
      <c r="H24" s="340" t="s">
        <v>386</v>
      </c>
      <c r="I24" s="340" t="s">
        <v>21</v>
      </c>
      <c r="J24" s="340" t="s">
        <v>21</v>
      </c>
      <c r="K24" s="340" t="s">
        <v>21</v>
      </c>
      <c r="L24" s="341">
        <v>9534.34</v>
      </c>
      <c r="M24" s="341">
        <v>19406.37</v>
      </c>
      <c r="N24" s="341">
        <v>26600.2</v>
      </c>
    </row>
    <row r="25" spans="1:16" x14ac:dyDescent="0.25">
      <c r="H25" s="340" t="s">
        <v>386</v>
      </c>
      <c r="I25" s="340" t="s">
        <v>43</v>
      </c>
      <c r="J25" s="340" t="s">
        <v>52</v>
      </c>
      <c r="K25" s="340" t="s">
        <v>178</v>
      </c>
      <c r="L25" s="341">
        <v>12.93</v>
      </c>
      <c r="M25" s="341">
        <v>0</v>
      </c>
      <c r="N25" s="341">
        <v>5457.58</v>
      </c>
    </row>
    <row r="26" spans="1:16" x14ac:dyDescent="0.25">
      <c r="B26" s="414"/>
      <c r="H26" s="340" t="s">
        <v>386</v>
      </c>
      <c r="I26" s="340" t="s">
        <v>43</v>
      </c>
      <c r="J26" s="340" t="s">
        <v>52</v>
      </c>
      <c r="K26" s="340" t="s">
        <v>210</v>
      </c>
      <c r="L26" s="341">
        <v>0</v>
      </c>
      <c r="M26" s="341">
        <v>1248.54</v>
      </c>
      <c r="N26" s="341">
        <v>2480.39</v>
      </c>
    </row>
    <row r="27" spans="1:16" x14ac:dyDescent="0.25">
      <c r="H27" s="340" t="s">
        <v>386</v>
      </c>
      <c r="I27" s="340" t="s">
        <v>43</v>
      </c>
      <c r="J27" s="340" t="s">
        <v>52</v>
      </c>
      <c r="K27" s="340" t="s">
        <v>72</v>
      </c>
      <c r="L27" s="341">
        <v>0</v>
      </c>
      <c r="M27" s="341">
        <v>206.41</v>
      </c>
      <c r="N27" s="341">
        <v>0</v>
      </c>
    </row>
    <row r="28" spans="1:16" x14ac:dyDescent="0.25">
      <c r="H28" s="340" t="s">
        <v>386</v>
      </c>
      <c r="I28" s="340" t="s">
        <v>43</v>
      </c>
      <c r="J28" s="340" t="s">
        <v>382</v>
      </c>
      <c r="K28" s="340" t="s">
        <v>384</v>
      </c>
      <c r="L28" s="341">
        <v>0</v>
      </c>
      <c r="M28" s="341">
        <v>262.83</v>
      </c>
      <c r="N28" s="341">
        <v>1244.68</v>
      </c>
    </row>
    <row r="29" spans="1:16" x14ac:dyDescent="0.25">
      <c r="H29" s="340" t="s">
        <v>386</v>
      </c>
      <c r="I29" s="340" t="s">
        <v>43</v>
      </c>
      <c r="J29" s="340" t="s">
        <v>55</v>
      </c>
      <c r="K29" s="340" t="s">
        <v>68</v>
      </c>
      <c r="L29" s="341">
        <v>149.69</v>
      </c>
      <c r="M29" s="341">
        <v>0</v>
      </c>
      <c r="N29" s="341">
        <v>282.14999999999998</v>
      </c>
    </row>
    <row r="30" spans="1:16" x14ac:dyDescent="0.25">
      <c r="H30" s="340" t="s">
        <v>386</v>
      </c>
      <c r="I30" s="340" t="s">
        <v>43</v>
      </c>
      <c r="J30" s="340" t="s">
        <v>55</v>
      </c>
      <c r="K30" s="340" t="s">
        <v>72</v>
      </c>
      <c r="L30" s="341">
        <v>0</v>
      </c>
      <c r="M30" s="341">
        <v>1892.53</v>
      </c>
      <c r="N30" s="341">
        <v>10427.799999999999</v>
      </c>
    </row>
    <row r="31" spans="1:16" x14ac:dyDescent="0.25">
      <c r="D31" s="345"/>
      <c r="E31" s="345"/>
      <c r="F31" s="345"/>
      <c r="H31" s="340" t="s">
        <v>386</v>
      </c>
      <c r="I31" s="340" t="s">
        <v>43</v>
      </c>
      <c r="J31" s="340" t="s">
        <v>183</v>
      </c>
      <c r="K31" s="340" t="s">
        <v>360</v>
      </c>
      <c r="L31" s="341">
        <v>155.93</v>
      </c>
      <c r="M31" s="341">
        <v>0</v>
      </c>
      <c r="N31" s="341">
        <v>187.81</v>
      </c>
    </row>
    <row r="32" spans="1:16" x14ac:dyDescent="0.25">
      <c r="D32" s="345"/>
      <c r="E32" s="345"/>
      <c r="F32" s="345"/>
      <c r="H32" s="340" t="s">
        <v>386</v>
      </c>
      <c r="I32" s="340" t="s">
        <v>43</v>
      </c>
      <c r="J32" s="340" t="s">
        <v>183</v>
      </c>
      <c r="K32" s="340" t="s">
        <v>363</v>
      </c>
      <c r="L32" s="341">
        <v>0</v>
      </c>
      <c r="M32" s="341">
        <v>336.24</v>
      </c>
      <c r="N32" s="341">
        <v>218.76</v>
      </c>
    </row>
    <row r="33" spans="8:14" x14ac:dyDescent="0.25">
      <c r="H33" s="340" t="s">
        <v>386</v>
      </c>
      <c r="I33" s="340" t="s">
        <v>45</v>
      </c>
      <c r="J33" s="340" t="s">
        <v>52</v>
      </c>
      <c r="K33" s="340" t="s">
        <v>178</v>
      </c>
      <c r="L33" s="341">
        <v>0</v>
      </c>
      <c r="M33" s="341">
        <v>467.6</v>
      </c>
      <c r="N33" s="341">
        <v>7593.69</v>
      </c>
    </row>
    <row r="34" spans="8:14" x14ac:dyDescent="0.25">
      <c r="H34" s="340" t="s">
        <v>386</v>
      </c>
      <c r="I34" s="340" t="s">
        <v>45</v>
      </c>
      <c r="J34" s="340" t="s">
        <v>382</v>
      </c>
      <c r="K34" s="340" t="s">
        <v>384</v>
      </c>
      <c r="L34" s="341">
        <v>0</v>
      </c>
      <c r="M34" s="341">
        <v>263.49</v>
      </c>
      <c r="N34" s="341">
        <v>1890.73</v>
      </c>
    </row>
    <row r="35" spans="8:14" x14ac:dyDescent="0.25">
      <c r="H35" s="340" t="s">
        <v>386</v>
      </c>
      <c r="I35" s="340" t="s">
        <v>45</v>
      </c>
      <c r="J35" s="340" t="s">
        <v>382</v>
      </c>
      <c r="K35" s="340" t="s">
        <v>240</v>
      </c>
      <c r="L35" s="341">
        <v>0</v>
      </c>
      <c r="M35" s="341">
        <v>256.05</v>
      </c>
      <c r="N35" s="341">
        <v>14278.5</v>
      </c>
    </row>
    <row r="36" spans="8:14" x14ac:dyDescent="0.25">
      <c r="H36" s="340" t="s">
        <v>386</v>
      </c>
      <c r="I36" s="340" t="s">
        <v>45</v>
      </c>
      <c r="J36" s="340" t="s">
        <v>55</v>
      </c>
      <c r="K36" s="340" t="s">
        <v>72</v>
      </c>
      <c r="L36" s="341">
        <v>0</v>
      </c>
      <c r="M36" s="341">
        <v>195.8</v>
      </c>
      <c r="N36" s="341">
        <v>379.64</v>
      </c>
    </row>
    <row r="37" spans="8:14" x14ac:dyDescent="0.25">
      <c r="H37" s="340" t="s">
        <v>386</v>
      </c>
      <c r="I37" s="340" t="s">
        <v>45</v>
      </c>
      <c r="J37" s="340" t="s">
        <v>183</v>
      </c>
      <c r="K37" s="340" t="s">
        <v>360</v>
      </c>
      <c r="L37" s="341">
        <v>108.04</v>
      </c>
      <c r="M37" s="341">
        <v>0</v>
      </c>
      <c r="N37" s="341">
        <v>405.12</v>
      </c>
    </row>
    <row r="38" spans="8:14" x14ac:dyDescent="0.25">
      <c r="H38" s="340" t="s">
        <v>386</v>
      </c>
      <c r="I38" s="340" t="s">
        <v>45</v>
      </c>
      <c r="J38" s="340" t="s">
        <v>183</v>
      </c>
      <c r="K38" s="340" t="s">
        <v>361</v>
      </c>
      <c r="L38" s="341">
        <v>155.52000000000001</v>
      </c>
      <c r="M38" s="341">
        <v>0</v>
      </c>
      <c r="N38" s="341">
        <v>0</v>
      </c>
    </row>
    <row r="39" spans="8:14" x14ac:dyDescent="0.25">
      <c r="H39" s="340" t="s">
        <v>386</v>
      </c>
      <c r="I39" s="340" t="s">
        <v>45</v>
      </c>
      <c r="J39" s="340" t="s">
        <v>183</v>
      </c>
      <c r="K39" s="340" t="s">
        <v>365</v>
      </c>
      <c r="L39" s="341">
        <v>222.92</v>
      </c>
      <c r="M39" s="341">
        <v>293.70999999999998</v>
      </c>
      <c r="N39" s="341">
        <v>3385.94</v>
      </c>
    </row>
    <row r="40" spans="8:14" x14ac:dyDescent="0.25">
      <c r="H40" s="340" t="s">
        <v>386</v>
      </c>
      <c r="I40" s="340" t="s">
        <v>45</v>
      </c>
      <c r="J40" s="340" t="s">
        <v>183</v>
      </c>
      <c r="K40" s="340" t="s">
        <v>72</v>
      </c>
      <c r="L40" s="341">
        <v>0</v>
      </c>
      <c r="M40" s="341">
        <v>0</v>
      </c>
      <c r="N40" s="341">
        <v>965.59</v>
      </c>
    </row>
    <row r="41" spans="8:14" x14ac:dyDescent="0.25">
      <c r="H41" s="340" t="s">
        <v>386</v>
      </c>
      <c r="I41" s="340" t="s">
        <v>46</v>
      </c>
      <c r="J41" s="340" t="s">
        <v>52</v>
      </c>
      <c r="K41" s="340" t="s">
        <v>178</v>
      </c>
      <c r="L41" s="341">
        <v>224.82</v>
      </c>
      <c r="M41" s="341">
        <v>353.18</v>
      </c>
      <c r="N41" s="341">
        <v>10368.25</v>
      </c>
    </row>
    <row r="42" spans="8:14" x14ac:dyDescent="0.25">
      <c r="H42" s="340" t="s">
        <v>386</v>
      </c>
      <c r="I42" s="340" t="s">
        <v>46</v>
      </c>
      <c r="J42" s="340" t="s">
        <v>52</v>
      </c>
      <c r="K42" s="340" t="s">
        <v>210</v>
      </c>
      <c r="L42" s="341">
        <v>0</v>
      </c>
      <c r="M42" s="341">
        <v>556.11</v>
      </c>
      <c r="N42" s="341">
        <v>5907.35</v>
      </c>
    </row>
    <row r="43" spans="8:14" x14ac:dyDescent="0.25">
      <c r="H43" s="340" t="s">
        <v>386</v>
      </c>
      <c r="I43" s="340" t="s">
        <v>50</v>
      </c>
      <c r="J43" s="340" t="s">
        <v>52</v>
      </c>
      <c r="K43" s="340" t="s">
        <v>178</v>
      </c>
      <c r="L43" s="341">
        <v>386.72</v>
      </c>
      <c r="M43" s="341">
        <v>448.03</v>
      </c>
      <c r="N43" s="341">
        <v>24701.279999999999</v>
      </c>
    </row>
    <row r="44" spans="8:14" x14ac:dyDescent="0.25">
      <c r="H44" s="340" t="s">
        <v>386</v>
      </c>
      <c r="I44" s="340" t="s">
        <v>50</v>
      </c>
      <c r="J44" s="340" t="s">
        <v>52</v>
      </c>
      <c r="K44" s="340" t="s">
        <v>72</v>
      </c>
      <c r="L44" s="341">
        <v>1543.07</v>
      </c>
      <c r="M44" s="341">
        <v>0</v>
      </c>
      <c r="N44" s="341">
        <v>0</v>
      </c>
    </row>
    <row r="45" spans="8:14" x14ac:dyDescent="0.25">
      <c r="H45" s="340" t="s">
        <v>386</v>
      </c>
      <c r="I45" s="340" t="s">
        <v>50</v>
      </c>
      <c r="J45" s="340" t="s">
        <v>382</v>
      </c>
      <c r="K45" s="340" t="s">
        <v>384</v>
      </c>
      <c r="L45" s="341">
        <v>0</v>
      </c>
      <c r="M45" s="341">
        <v>0</v>
      </c>
      <c r="N45" s="341">
        <v>0</v>
      </c>
    </row>
    <row r="46" spans="8:14" x14ac:dyDescent="0.25">
      <c r="H46" s="340" t="s">
        <v>386</v>
      </c>
      <c r="I46" s="340" t="s">
        <v>50</v>
      </c>
      <c r="J46" s="340" t="s">
        <v>55</v>
      </c>
      <c r="K46" s="340" t="s">
        <v>54</v>
      </c>
      <c r="L46" s="341">
        <v>0</v>
      </c>
      <c r="M46" s="341">
        <v>0</v>
      </c>
      <c r="N46" s="341">
        <v>0</v>
      </c>
    </row>
    <row r="47" spans="8:14" x14ac:dyDescent="0.25">
      <c r="H47" s="340" t="s">
        <v>386</v>
      </c>
      <c r="I47" s="340" t="s">
        <v>50</v>
      </c>
      <c r="J47" s="340" t="s">
        <v>55</v>
      </c>
      <c r="K47" s="340" t="s">
        <v>67</v>
      </c>
      <c r="L47" s="341">
        <v>0</v>
      </c>
      <c r="M47" s="341">
        <v>0</v>
      </c>
      <c r="N47" s="341">
        <v>0</v>
      </c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P49"/>
  <sheetViews>
    <sheetView zoomScaleNormal="100" workbookViewId="0">
      <selection activeCell="B22" sqref="B22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375</v>
      </c>
      <c r="B8" s="340" t="s">
        <v>38</v>
      </c>
      <c r="C8" s="340" t="s">
        <v>3</v>
      </c>
      <c r="D8" s="342">
        <v>9948.8799999999992</v>
      </c>
      <c r="E8" s="342">
        <v>0</v>
      </c>
      <c r="F8" s="342">
        <v>4428.04</v>
      </c>
      <c r="H8" s="343" t="s">
        <v>375</v>
      </c>
      <c r="I8" s="343" t="s">
        <v>21</v>
      </c>
      <c r="J8" s="343" t="s">
        <v>52</v>
      </c>
      <c r="K8" s="343" t="s">
        <v>178</v>
      </c>
      <c r="L8" s="344">
        <v>11922.96</v>
      </c>
      <c r="M8" s="344">
        <v>18241.18</v>
      </c>
      <c r="N8" s="344">
        <v>98451.3</v>
      </c>
    </row>
    <row r="9" spans="1:16" x14ac:dyDescent="0.25">
      <c r="A9" s="340" t="s">
        <v>375</v>
      </c>
      <c r="B9" s="340" t="s">
        <v>38</v>
      </c>
      <c r="C9" s="340" t="s">
        <v>323</v>
      </c>
      <c r="D9" s="342">
        <v>3364.66</v>
      </c>
      <c r="E9" s="342">
        <v>0</v>
      </c>
      <c r="F9" s="342">
        <v>88.58</v>
      </c>
      <c r="H9" s="343" t="s">
        <v>375</v>
      </c>
      <c r="I9" s="343" t="s">
        <v>21</v>
      </c>
      <c r="J9" s="343" t="s">
        <v>52</v>
      </c>
      <c r="K9" s="343" t="s">
        <v>210</v>
      </c>
      <c r="L9" s="344">
        <v>11311.77</v>
      </c>
      <c r="M9" s="344">
        <v>11676.36</v>
      </c>
      <c r="N9" s="344">
        <v>122495.99</v>
      </c>
    </row>
    <row r="10" spans="1:16" x14ac:dyDescent="0.25">
      <c r="A10" s="340" t="s">
        <v>375</v>
      </c>
      <c r="B10" s="340" t="s">
        <v>38</v>
      </c>
      <c r="C10" s="340" t="s">
        <v>41</v>
      </c>
      <c r="D10" s="342">
        <v>100588.92</v>
      </c>
      <c r="E10" s="342">
        <v>107671.6</v>
      </c>
      <c r="F10" s="342">
        <v>654650.38</v>
      </c>
      <c r="H10" s="343" t="s">
        <v>375</v>
      </c>
      <c r="I10" s="343" t="s">
        <v>21</v>
      </c>
      <c r="J10" s="343" t="s">
        <v>52</v>
      </c>
      <c r="K10" s="343" t="s">
        <v>72</v>
      </c>
      <c r="L10" s="344">
        <v>2147.54</v>
      </c>
      <c r="M10" s="344">
        <v>1748.35</v>
      </c>
      <c r="N10" s="344">
        <v>4873.58</v>
      </c>
      <c r="O10" s="346">
        <f>SUM(L8:N10)</f>
        <v>282869.02999999997</v>
      </c>
      <c r="P10" s="347" t="s">
        <v>135</v>
      </c>
    </row>
    <row r="11" spans="1:16" x14ac:dyDescent="0.25">
      <c r="A11" s="340" t="s">
        <v>375</v>
      </c>
      <c r="B11" s="340" t="s">
        <v>39</v>
      </c>
      <c r="C11" s="340" t="s">
        <v>41</v>
      </c>
      <c r="D11" s="342">
        <v>26588.12</v>
      </c>
      <c r="E11" s="342">
        <v>33365.26</v>
      </c>
      <c r="F11" s="342">
        <v>95337.8</v>
      </c>
      <c r="H11" s="348" t="s">
        <v>375</v>
      </c>
      <c r="I11" s="348" t="s">
        <v>21</v>
      </c>
      <c r="J11" s="348" t="s">
        <v>382</v>
      </c>
      <c r="K11" s="348" t="s">
        <v>383</v>
      </c>
      <c r="L11" s="349">
        <v>1572.27</v>
      </c>
      <c r="M11" s="349">
        <v>937.64</v>
      </c>
      <c r="N11" s="349">
        <v>102836.31</v>
      </c>
    </row>
    <row r="12" spans="1:16" x14ac:dyDescent="0.25">
      <c r="H12" s="348" t="s">
        <v>375</v>
      </c>
      <c r="I12" s="348" t="s">
        <v>21</v>
      </c>
      <c r="J12" s="348" t="s">
        <v>382</v>
      </c>
      <c r="K12" s="348" t="s">
        <v>384</v>
      </c>
      <c r="L12" s="349">
        <v>4105.1499999999996</v>
      </c>
      <c r="M12" s="349">
        <v>2089.11</v>
      </c>
      <c r="N12" s="349">
        <v>30945.94</v>
      </c>
    </row>
    <row r="13" spans="1:16" x14ac:dyDescent="0.25">
      <c r="H13" s="348" t="s">
        <v>375</v>
      </c>
      <c r="I13" s="348" t="s">
        <v>21</v>
      </c>
      <c r="J13" s="348" t="s">
        <v>382</v>
      </c>
      <c r="K13" s="348" t="s">
        <v>240</v>
      </c>
      <c r="L13" s="349">
        <v>514.16</v>
      </c>
      <c r="M13" s="349">
        <v>242.47</v>
      </c>
      <c r="N13" s="349">
        <v>16499.11</v>
      </c>
      <c r="O13" s="350">
        <f>SUM(L11:N13)</f>
        <v>159742.15999999997</v>
      </c>
      <c r="P13" s="351" t="s">
        <v>377</v>
      </c>
    </row>
    <row r="14" spans="1:16" x14ac:dyDescent="0.25">
      <c r="H14" s="352" t="s">
        <v>375</v>
      </c>
      <c r="I14" s="352" t="s">
        <v>21</v>
      </c>
      <c r="J14" s="352" t="s">
        <v>55</v>
      </c>
      <c r="K14" s="352" t="s">
        <v>339</v>
      </c>
      <c r="L14" s="353">
        <v>0</v>
      </c>
      <c r="M14" s="353">
        <v>0</v>
      </c>
      <c r="N14" s="353">
        <v>1094.2</v>
      </c>
    </row>
    <row r="15" spans="1:16" x14ac:dyDescent="0.25">
      <c r="H15" s="352" t="s">
        <v>375</v>
      </c>
      <c r="I15" s="352" t="s">
        <v>21</v>
      </c>
      <c r="J15" s="352" t="s">
        <v>55</v>
      </c>
      <c r="K15" s="352" t="s">
        <v>54</v>
      </c>
      <c r="L15" s="353">
        <v>105.48</v>
      </c>
      <c r="M15" s="353">
        <v>5677.44</v>
      </c>
      <c r="N15" s="353">
        <v>4650.3100000000004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375</v>
      </c>
      <c r="I16" s="352" t="s">
        <v>21</v>
      </c>
      <c r="J16" s="352" t="s">
        <v>55</v>
      </c>
      <c r="K16" s="352" t="s">
        <v>66</v>
      </c>
      <c r="L16" s="353">
        <v>683.12</v>
      </c>
      <c r="M16" s="353">
        <v>107.53</v>
      </c>
      <c r="N16" s="353">
        <v>579.94000000000005</v>
      </c>
    </row>
    <row r="17" spans="1:16" x14ac:dyDescent="0.25">
      <c r="A17" s="336" t="s">
        <v>38</v>
      </c>
      <c r="B17" s="415">
        <f>SUM(D10:F10)</f>
        <v>862910.9</v>
      </c>
      <c r="D17" s="502" t="s">
        <v>81</v>
      </c>
      <c r="E17" s="502"/>
      <c r="F17" s="360">
        <f>O10/B21</f>
        <v>0.27303110760336952</v>
      </c>
      <c r="H17" s="352" t="s">
        <v>375</v>
      </c>
      <c r="I17" s="352" t="s">
        <v>21</v>
      </c>
      <c r="J17" s="352" t="s">
        <v>55</v>
      </c>
      <c r="K17" s="352" t="s">
        <v>67</v>
      </c>
      <c r="L17" s="353">
        <v>56.61</v>
      </c>
      <c r="M17" s="353">
        <v>1565.42</v>
      </c>
      <c r="N17" s="353">
        <v>2560.7199999999998</v>
      </c>
    </row>
    <row r="18" spans="1:16" x14ac:dyDescent="0.25">
      <c r="A18" s="336" t="s">
        <v>39</v>
      </c>
      <c r="B18" s="415">
        <f>SUM(D11:F11)</f>
        <v>155291.18</v>
      </c>
      <c r="D18" s="481" t="s">
        <v>253</v>
      </c>
      <c r="E18" s="481"/>
      <c r="F18" s="360">
        <f>O13/B21</f>
        <v>0.15418647589576939</v>
      </c>
      <c r="H18" s="352" t="s">
        <v>375</v>
      </c>
      <c r="I18" s="352" t="s">
        <v>21</v>
      </c>
      <c r="J18" s="352" t="s">
        <v>55</v>
      </c>
      <c r="K18" s="352" t="s">
        <v>68</v>
      </c>
      <c r="L18" s="353">
        <v>688.12</v>
      </c>
      <c r="M18" s="353">
        <v>0</v>
      </c>
      <c r="N18" s="353">
        <v>2141.9899999999998</v>
      </c>
    </row>
    <row r="19" spans="1:16" x14ac:dyDescent="0.25">
      <c r="A19" s="336" t="s">
        <v>2</v>
      </c>
      <c r="B19" s="415">
        <f>SUM(D9:F9)</f>
        <v>3453.24</v>
      </c>
      <c r="D19" s="336" t="s">
        <v>78</v>
      </c>
      <c r="F19" s="360">
        <f>O23/B21</f>
        <v>5.3320637975513188E-2</v>
      </c>
      <c r="H19" s="352" t="s">
        <v>375</v>
      </c>
      <c r="I19" s="352" t="s">
        <v>21</v>
      </c>
      <c r="J19" s="352" t="s">
        <v>55</v>
      </c>
      <c r="K19" s="352" t="s">
        <v>69</v>
      </c>
      <c r="L19" s="353">
        <v>0</v>
      </c>
      <c r="M19" s="353">
        <v>47.22</v>
      </c>
      <c r="N19" s="353">
        <v>360.18</v>
      </c>
    </row>
    <row r="20" spans="1:16" x14ac:dyDescent="0.25">
      <c r="A20" s="336" t="s">
        <v>3</v>
      </c>
      <c r="B20" s="415">
        <f>SUM(D8:F8)</f>
        <v>14376.919999999998</v>
      </c>
      <c r="D20" s="481" t="s">
        <v>42</v>
      </c>
      <c r="E20" s="481"/>
      <c r="F20" s="360">
        <f>O27/B21</f>
        <v>0.35098573766391666</v>
      </c>
      <c r="H20" s="352" t="s">
        <v>375</v>
      </c>
      <c r="I20" s="352" t="s">
        <v>21</v>
      </c>
      <c r="J20" s="352" t="s">
        <v>55</v>
      </c>
      <c r="K20" s="352" t="s">
        <v>72</v>
      </c>
      <c r="L20" s="353">
        <v>3262.49</v>
      </c>
      <c r="M20" s="353">
        <v>4148.46</v>
      </c>
      <c r="N20" s="353">
        <v>22180.880000000001</v>
      </c>
    </row>
    <row r="21" spans="1:16" ht="15.75" thickBot="1" x14ac:dyDescent="0.3">
      <c r="A21" s="361"/>
      <c r="B21" s="416">
        <f>SUM(B17:B20)</f>
        <v>1036032.2400000001</v>
      </c>
      <c r="F21" s="363">
        <f>SUM(F17:F20)</f>
        <v>0.8315239591385688</v>
      </c>
      <c r="H21" s="352" t="s">
        <v>375</v>
      </c>
      <c r="I21" s="352" t="s">
        <v>21</v>
      </c>
      <c r="J21" s="352" t="s">
        <v>183</v>
      </c>
      <c r="K21" s="352" t="s">
        <v>360</v>
      </c>
      <c r="L21" s="353">
        <v>266.24</v>
      </c>
      <c r="M21" s="353">
        <v>278.11</v>
      </c>
      <c r="N21" s="353">
        <v>2191.2399999999998</v>
      </c>
    </row>
    <row r="22" spans="1:16" x14ac:dyDescent="0.25">
      <c r="B22" s="429">
        <f>B21-'Notes - May15'!B21</f>
        <v>11348.439999999944</v>
      </c>
      <c r="E22" s="390" t="s">
        <v>356</v>
      </c>
      <c r="F22" s="417">
        <v>185</v>
      </c>
      <c r="H22" s="352" t="s">
        <v>375</v>
      </c>
      <c r="I22" s="352" t="s">
        <v>21</v>
      </c>
      <c r="J22" s="352" t="s">
        <v>183</v>
      </c>
      <c r="K22" s="352" t="s">
        <v>361</v>
      </c>
      <c r="L22" s="353">
        <v>240.93</v>
      </c>
      <c r="M22" s="353">
        <v>0</v>
      </c>
      <c r="N22" s="353">
        <v>2027.41</v>
      </c>
    </row>
    <row r="23" spans="1:16" x14ac:dyDescent="0.25">
      <c r="E23" s="390"/>
      <c r="F23" s="417"/>
      <c r="H23" s="352" t="s">
        <v>375</v>
      </c>
      <c r="I23" s="352" t="s">
        <v>21</v>
      </c>
      <c r="J23" s="352" t="s">
        <v>183</v>
      </c>
      <c r="K23" s="352" t="s">
        <v>362</v>
      </c>
      <c r="L23" s="353">
        <v>0</v>
      </c>
      <c r="M23" s="353">
        <v>327.86</v>
      </c>
      <c r="N23" s="353">
        <v>0</v>
      </c>
      <c r="O23" s="364">
        <f>SUM(L14:N23)</f>
        <v>55241.9</v>
      </c>
      <c r="P23" s="365" t="s">
        <v>378</v>
      </c>
    </row>
    <row r="24" spans="1:16" x14ac:dyDescent="0.25">
      <c r="H24" s="366" t="s">
        <v>375</v>
      </c>
      <c r="I24" s="366" t="s">
        <v>43</v>
      </c>
      <c r="J24" s="366" t="s">
        <v>21</v>
      </c>
      <c r="K24" s="366" t="s">
        <v>21</v>
      </c>
      <c r="L24" s="367">
        <v>28405.15</v>
      </c>
      <c r="M24" s="367">
        <v>26260.48</v>
      </c>
      <c r="N24" s="367">
        <v>92935.86</v>
      </c>
    </row>
    <row r="25" spans="1:16" x14ac:dyDescent="0.25">
      <c r="H25" s="366" t="s">
        <v>375</v>
      </c>
      <c r="I25" s="366" t="s">
        <v>45</v>
      </c>
      <c r="J25" s="366" t="s">
        <v>21</v>
      </c>
      <c r="K25" s="366" t="s">
        <v>21</v>
      </c>
      <c r="L25" s="367">
        <v>23861.72</v>
      </c>
      <c r="M25" s="367">
        <v>23233.78</v>
      </c>
      <c r="N25" s="367">
        <v>103450.48</v>
      </c>
    </row>
    <row r="26" spans="1:16" x14ac:dyDescent="0.25">
      <c r="B26" s="414"/>
      <c r="H26" s="366" t="s">
        <v>375</v>
      </c>
      <c r="I26" s="366" t="s">
        <v>46</v>
      </c>
      <c r="J26" s="366" t="s">
        <v>21</v>
      </c>
      <c r="K26" s="366" t="s">
        <v>21</v>
      </c>
      <c r="L26" s="367">
        <v>7284.3</v>
      </c>
      <c r="M26" s="367">
        <v>9821.06</v>
      </c>
      <c r="N26" s="367">
        <v>36597.279999999999</v>
      </c>
    </row>
    <row r="27" spans="1:16" x14ac:dyDescent="0.25">
      <c r="H27" s="366" t="s">
        <v>375</v>
      </c>
      <c r="I27" s="366" t="s">
        <v>50</v>
      </c>
      <c r="J27" s="366" t="s">
        <v>21</v>
      </c>
      <c r="K27" s="366" t="s">
        <v>21</v>
      </c>
      <c r="L27" s="367">
        <v>2578.11</v>
      </c>
      <c r="M27" s="367">
        <v>1985.68</v>
      </c>
      <c r="N27" s="367">
        <v>7218.64</v>
      </c>
      <c r="O27" s="368">
        <f>SUM(L24:N27)</f>
        <v>363632.54</v>
      </c>
      <c r="P27" s="369" t="s">
        <v>373</v>
      </c>
    </row>
    <row r="28" spans="1:16" x14ac:dyDescent="0.25">
      <c r="H28" s="340" t="s">
        <v>375</v>
      </c>
      <c r="I28" s="340" t="s">
        <v>21</v>
      </c>
      <c r="J28" s="340" t="s">
        <v>21</v>
      </c>
      <c r="K28" s="340" t="s">
        <v>21</v>
      </c>
      <c r="L28" s="341">
        <v>33716.400000000001</v>
      </c>
      <c r="M28" s="341">
        <v>19780.79</v>
      </c>
      <c r="N28" s="341">
        <v>27050.91</v>
      </c>
    </row>
    <row r="29" spans="1:16" x14ac:dyDescent="0.25">
      <c r="H29" s="340" t="s">
        <v>375</v>
      </c>
      <c r="I29" s="340" t="s">
        <v>43</v>
      </c>
      <c r="J29" s="340" t="s">
        <v>52</v>
      </c>
      <c r="K29" s="340" t="s">
        <v>178</v>
      </c>
      <c r="L29" s="341">
        <v>263.64999999999998</v>
      </c>
      <c r="M29" s="341">
        <v>315.61</v>
      </c>
      <c r="N29" s="341">
        <v>5552.85</v>
      </c>
    </row>
    <row r="30" spans="1:16" x14ac:dyDescent="0.25">
      <c r="H30" s="340" t="s">
        <v>375</v>
      </c>
      <c r="I30" s="340" t="s">
        <v>43</v>
      </c>
      <c r="J30" s="340" t="s">
        <v>52</v>
      </c>
      <c r="K30" s="340" t="s">
        <v>210</v>
      </c>
      <c r="L30" s="341">
        <v>1249.8399999999999</v>
      </c>
      <c r="M30" s="341">
        <v>348.27</v>
      </c>
      <c r="N30" s="341">
        <v>2392.23</v>
      </c>
    </row>
    <row r="31" spans="1:16" x14ac:dyDescent="0.25">
      <c r="D31" s="345"/>
      <c r="E31" s="345"/>
      <c r="F31" s="345"/>
      <c r="H31" s="340" t="s">
        <v>375</v>
      </c>
      <c r="I31" s="340" t="s">
        <v>43</v>
      </c>
      <c r="J31" s="340" t="s">
        <v>52</v>
      </c>
      <c r="K31" s="340" t="s">
        <v>72</v>
      </c>
      <c r="L31" s="341">
        <v>0</v>
      </c>
      <c r="M31" s="341">
        <v>249.28</v>
      </c>
      <c r="N31" s="341">
        <v>949.84</v>
      </c>
    </row>
    <row r="32" spans="1:16" x14ac:dyDescent="0.25">
      <c r="D32" s="345"/>
      <c r="E32" s="345"/>
      <c r="F32" s="345"/>
      <c r="H32" s="340" t="s">
        <v>375</v>
      </c>
      <c r="I32" s="340" t="s">
        <v>43</v>
      </c>
      <c r="J32" s="340" t="s">
        <v>382</v>
      </c>
      <c r="K32" s="340" t="s">
        <v>384</v>
      </c>
      <c r="L32" s="341">
        <v>262.83</v>
      </c>
      <c r="M32" s="341">
        <v>0</v>
      </c>
      <c r="N32" s="341">
        <v>1403.03</v>
      </c>
    </row>
    <row r="33" spans="8:14" x14ac:dyDescent="0.25">
      <c r="H33" s="340" t="s">
        <v>375</v>
      </c>
      <c r="I33" s="340" t="s">
        <v>43</v>
      </c>
      <c r="J33" s="340" t="s">
        <v>55</v>
      </c>
      <c r="K33" s="340" t="s">
        <v>182</v>
      </c>
      <c r="L33" s="341">
        <v>100.68</v>
      </c>
      <c r="M33" s="341">
        <v>0</v>
      </c>
      <c r="N33" s="341">
        <v>0</v>
      </c>
    </row>
    <row r="34" spans="8:14" x14ac:dyDescent="0.25">
      <c r="H34" s="340" t="s">
        <v>375</v>
      </c>
      <c r="I34" s="340" t="s">
        <v>43</v>
      </c>
      <c r="J34" s="340" t="s">
        <v>55</v>
      </c>
      <c r="K34" s="340" t="s">
        <v>54</v>
      </c>
      <c r="L34" s="341">
        <v>0</v>
      </c>
      <c r="M34" s="341">
        <v>115.07</v>
      </c>
      <c r="N34" s="341">
        <v>0</v>
      </c>
    </row>
    <row r="35" spans="8:14" x14ac:dyDescent="0.25">
      <c r="H35" s="340" t="s">
        <v>375</v>
      </c>
      <c r="I35" s="340" t="s">
        <v>43</v>
      </c>
      <c r="J35" s="340" t="s">
        <v>55</v>
      </c>
      <c r="K35" s="340" t="s">
        <v>72</v>
      </c>
      <c r="L35" s="341">
        <v>0</v>
      </c>
      <c r="M35" s="341">
        <v>153.26</v>
      </c>
      <c r="N35" s="341">
        <v>0</v>
      </c>
    </row>
    <row r="36" spans="8:14" x14ac:dyDescent="0.25">
      <c r="H36" s="340" t="s">
        <v>375</v>
      </c>
      <c r="I36" s="340" t="s">
        <v>43</v>
      </c>
      <c r="J36" s="340" t="s">
        <v>183</v>
      </c>
      <c r="K36" s="340" t="s">
        <v>360</v>
      </c>
      <c r="L36" s="341">
        <v>260.26</v>
      </c>
      <c r="M36" s="341">
        <v>353.31</v>
      </c>
      <c r="N36" s="341">
        <v>382.08</v>
      </c>
    </row>
    <row r="37" spans="8:14" x14ac:dyDescent="0.25">
      <c r="H37" s="340" t="s">
        <v>375</v>
      </c>
      <c r="I37" s="340" t="s">
        <v>43</v>
      </c>
      <c r="J37" s="340" t="s">
        <v>183</v>
      </c>
      <c r="K37" s="340" t="s">
        <v>362</v>
      </c>
      <c r="L37" s="341">
        <v>427.33</v>
      </c>
      <c r="M37" s="341">
        <v>0</v>
      </c>
      <c r="N37" s="341">
        <v>643.86</v>
      </c>
    </row>
    <row r="38" spans="8:14" x14ac:dyDescent="0.25">
      <c r="H38" s="340" t="s">
        <v>375</v>
      </c>
      <c r="I38" s="340" t="s">
        <v>45</v>
      </c>
      <c r="J38" s="340" t="s">
        <v>52</v>
      </c>
      <c r="K38" s="340" t="s">
        <v>178</v>
      </c>
      <c r="L38" s="341">
        <v>703.37</v>
      </c>
      <c r="M38" s="341">
        <v>0</v>
      </c>
      <c r="N38" s="341">
        <v>7584.2</v>
      </c>
    </row>
    <row r="39" spans="8:14" x14ac:dyDescent="0.25">
      <c r="H39" s="340" t="s">
        <v>375</v>
      </c>
      <c r="I39" s="340" t="s">
        <v>45</v>
      </c>
      <c r="J39" s="340" t="s">
        <v>382</v>
      </c>
      <c r="K39" s="340" t="s">
        <v>384</v>
      </c>
      <c r="L39" s="341">
        <v>263.49</v>
      </c>
      <c r="M39" s="341">
        <v>0</v>
      </c>
      <c r="N39" s="341">
        <v>1890.73</v>
      </c>
    </row>
    <row r="40" spans="8:14" x14ac:dyDescent="0.25">
      <c r="H40" s="340" t="s">
        <v>375</v>
      </c>
      <c r="I40" s="340" t="s">
        <v>45</v>
      </c>
      <c r="J40" s="340" t="s">
        <v>382</v>
      </c>
      <c r="K40" s="340" t="s">
        <v>240</v>
      </c>
      <c r="L40" s="341">
        <v>254.85</v>
      </c>
      <c r="M40" s="341">
        <v>0</v>
      </c>
      <c r="N40" s="341">
        <v>14286.04</v>
      </c>
    </row>
    <row r="41" spans="8:14" x14ac:dyDescent="0.25">
      <c r="H41" s="340" t="s">
        <v>375</v>
      </c>
      <c r="I41" s="340" t="s">
        <v>45</v>
      </c>
      <c r="J41" s="340" t="s">
        <v>183</v>
      </c>
      <c r="K41" s="340" t="s">
        <v>360</v>
      </c>
      <c r="L41" s="341">
        <v>1367.17</v>
      </c>
      <c r="M41" s="341">
        <v>88.04</v>
      </c>
      <c r="N41" s="341">
        <v>3264.57</v>
      </c>
    </row>
    <row r="42" spans="8:14" x14ac:dyDescent="0.25">
      <c r="H42" s="340" t="s">
        <v>375</v>
      </c>
      <c r="I42" s="340" t="s">
        <v>45</v>
      </c>
      <c r="J42" s="340" t="s">
        <v>183</v>
      </c>
      <c r="K42" s="340" t="s">
        <v>361</v>
      </c>
      <c r="L42" s="341">
        <v>736.54</v>
      </c>
      <c r="M42" s="341">
        <v>417.53</v>
      </c>
      <c r="N42" s="341">
        <v>950.83</v>
      </c>
    </row>
    <row r="43" spans="8:14" x14ac:dyDescent="0.25">
      <c r="H43" s="340" t="s">
        <v>375</v>
      </c>
      <c r="I43" s="340" t="s">
        <v>45</v>
      </c>
      <c r="J43" s="340" t="s">
        <v>183</v>
      </c>
      <c r="K43" s="340" t="s">
        <v>362</v>
      </c>
      <c r="L43" s="341">
        <v>0</v>
      </c>
      <c r="M43" s="341">
        <v>0</v>
      </c>
      <c r="N43" s="341">
        <v>1433.6</v>
      </c>
    </row>
    <row r="44" spans="8:14" x14ac:dyDescent="0.25">
      <c r="H44" s="340" t="s">
        <v>375</v>
      </c>
      <c r="I44" s="340" t="s">
        <v>45</v>
      </c>
      <c r="J44" s="340" t="s">
        <v>183</v>
      </c>
      <c r="K44" s="340" t="s">
        <v>72</v>
      </c>
      <c r="L44" s="341">
        <v>65.319999999999993</v>
      </c>
      <c r="M44" s="341">
        <v>209.88</v>
      </c>
      <c r="N44" s="341">
        <v>559.91999999999996</v>
      </c>
    </row>
    <row r="45" spans="8:14" x14ac:dyDescent="0.25">
      <c r="H45" s="340" t="s">
        <v>375</v>
      </c>
      <c r="I45" s="340" t="s">
        <v>46</v>
      </c>
      <c r="J45" s="340" t="s">
        <v>52</v>
      </c>
      <c r="K45" s="340" t="s">
        <v>178</v>
      </c>
      <c r="L45" s="341">
        <v>353.24</v>
      </c>
      <c r="M45" s="341">
        <v>0</v>
      </c>
      <c r="N45" s="341">
        <v>10647.8</v>
      </c>
    </row>
    <row r="46" spans="8:14" x14ac:dyDescent="0.25">
      <c r="H46" s="340" t="s">
        <v>375</v>
      </c>
      <c r="I46" s="340" t="s">
        <v>46</v>
      </c>
      <c r="J46" s="340" t="s">
        <v>52</v>
      </c>
      <c r="K46" s="340" t="s">
        <v>210</v>
      </c>
      <c r="L46" s="341">
        <v>289.81</v>
      </c>
      <c r="M46" s="341">
        <v>0</v>
      </c>
      <c r="N46" s="341">
        <v>1334.6</v>
      </c>
    </row>
    <row r="47" spans="8:14" x14ac:dyDescent="0.25">
      <c r="H47" s="340" t="s">
        <v>375</v>
      </c>
      <c r="I47" s="340" t="s">
        <v>46</v>
      </c>
      <c r="J47" s="340" t="s">
        <v>183</v>
      </c>
      <c r="K47" s="340" t="s">
        <v>360</v>
      </c>
      <c r="L47" s="341">
        <v>0</v>
      </c>
      <c r="M47" s="341">
        <v>0</v>
      </c>
      <c r="N47" s="341">
        <v>555.13</v>
      </c>
    </row>
    <row r="48" spans="8:14" x14ac:dyDescent="0.25">
      <c r="H48" s="340" t="s">
        <v>375</v>
      </c>
      <c r="I48" s="340" t="s">
        <v>50</v>
      </c>
      <c r="J48" s="340" t="s">
        <v>52</v>
      </c>
      <c r="K48" s="340" t="s">
        <v>178</v>
      </c>
      <c r="L48" s="341">
        <v>1169.68</v>
      </c>
      <c r="M48" s="341">
        <v>10246.41</v>
      </c>
      <c r="N48" s="341">
        <v>19531.22</v>
      </c>
    </row>
    <row r="49" spans="8:14" x14ac:dyDescent="0.25">
      <c r="H49" s="340" t="s">
        <v>375</v>
      </c>
      <c r="I49" s="340" t="s">
        <v>50</v>
      </c>
      <c r="J49" s="340" t="s">
        <v>55</v>
      </c>
      <c r="K49" s="340" t="s">
        <v>54</v>
      </c>
      <c r="L49" s="341">
        <v>0</v>
      </c>
      <c r="M49" s="341">
        <v>371.26</v>
      </c>
      <c r="N49" s="341">
        <v>0</v>
      </c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P45"/>
  <sheetViews>
    <sheetView zoomScaleNormal="10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375</v>
      </c>
      <c r="B8" s="340" t="s">
        <v>38</v>
      </c>
      <c r="C8" s="340" t="s">
        <v>3</v>
      </c>
      <c r="D8" s="342">
        <v>0</v>
      </c>
      <c r="E8" s="342">
        <v>274.38</v>
      </c>
      <c r="F8" s="342">
        <v>4907.68</v>
      </c>
      <c r="H8" s="343" t="s">
        <v>375</v>
      </c>
      <c r="I8" s="343" t="s">
        <v>21</v>
      </c>
      <c r="J8" s="343" t="s">
        <v>52</v>
      </c>
      <c r="K8" s="343" t="s">
        <v>178</v>
      </c>
      <c r="L8" s="344">
        <v>29524.25</v>
      </c>
      <c r="M8" s="344">
        <v>1637.76</v>
      </c>
      <c r="N8" s="344">
        <v>79648</v>
      </c>
    </row>
    <row r="9" spans="1:16" x14ac:dyDescent="0.25">
      <c r="A9" s="340" t="s">
        <v>375</v>
      </c>
      <c r="B9" s="340" t="s">
        <v>38</v>
      </c>
      <c r="C9" s="340" t="s">
        <v>323</v>
      </c>
      <c r="D9" s="342">
        <v>685.39</v>
      </c>
      <c r="E9" s="342">
        <v>28.1</v>
      </c>
      <c r="F9" s="342">
        <v>63.67</v>
      </c>
      <c r="H9" s="343" t="s">
        <v>375</v>
      </c>
      <c r="I9" s="343" t="s">
        <v>21</v>
      </c>
      <c r="J9" s="343" t="s">
        <v>52</v>
      </c>
      <c r="K9" s="343" t="s">
        <v>210</v>
      </c>
      <c r="L9" s="344">
        <v>10858.1</v>
      </c>
      <c r="M9" s="344">
        <v>2018.7</v>
      </c>
      <c r="N9" s="344">
        <v>119013.12</v>
      </c>
    </row>
    <row r="10" spans="1:16" x14ac:dyDescent="0.25">
      <c r="A10" s="340" t="s">
        <v>375</v>
      </c>
      <c r="B10" s="340" t="s">
        <v>38</v>
      </c>
      <c r="C10" s="340" t="s">
        <v>41</v>
      </c>
      <c r="D10" s="342">
        <v>148686.03</v>
      </c>
      <c r="E10" s="342">
        <v>39446.339999999997</v>
      </c>
      <c r="F10" s="342">
        <v>679811.67</v>
      </c>
      <c r="H10" s="343" t="s">
        <v>375</v>
      </c>
      <c r="I10" s="343" t="s">
        <v>21</v>
      </c>
      <c r="J10" s="343" t="s">
        <v>52</v>
      </c>
      <c r="K10" s="343" t="s">
        <v>72</v>
      </c>
      <c r="L10" s="344">
        <v>3958.89</v>
      </c>
      <c r="M10" s="344">
        <v>1557.62</v>
      </c>
      <c r="N10" s="344">
        <v>13171.54</v>
      </c>
      <c r="O10" s="346">
        <f>SUM(L8:N10)</f>
        <v>261387.98</v>
      </c>
      <c r="P10" s="347" t="s">
        <v>135</v>
      </c>
    </row>
    <row r="11" spans="1:16" x14ac:dyDescent="0.25">
      <c r="A11" s="340" t="s">
        <v>375</v>
      </c>
      <c r="B11" s="340" t="s">
        <v>39</v>
      </c>
      <c r="C11" s="340" t="s">
        <v>41</v>
      </c>
      <c r="D11" s="342">
        <v>40834.43</v>
      </c>
      <c r="E11" s="342">
        <v>12295.88</v>
      </c>
      <c r="F11" s="342">
        <v>97650.23</v>
      </c>
      <c r="H11" s="348" t="s">
        <v>375</v>
      </c>
      <c r="I11" s="348" t="s">
        <v>21</v>
      </c>
      <c r="J11" s="348" t="s">
        <v>382</v>
      </c>
      <c r="K11" s="348" t="s">
        <v>383</v>
      </c>
      <c r="L11" s="349">
        <v>924.26</v>
      </c>
      <c r="M11" s="349">
        <v>1985.7</v>
      </c>
      <c r="N11" s="349">
        <v>100262.43</v>
      </c>
    </row>
    <row r="12" spans="1:16" x14ac:dyDescent="0.25">
      <c r="H12" s="348" t="s">
        <v>375</v>
      </c>
      <c r="I12" s="348" t="s">
        <v>21</v>
      </c>
      <c r="J12" s="348" t="s">
        <v>382</v>
      </c>
      <c r="K12" s="348" t="s">
        <v>384</v>
      </c>
      <c r="L12" s="349">
        <v>2368.85</v>
      </c>
      <c r="M12" s="349">
        <v>894.43</v>
      </c>
      <c r="N12" s="349">
        <v>30060.77</v>
      </c>
    </row>
    <row r="13" spans="1:16" x14ac:dyDescent="0.25">
      <c r="H13" s="348" t="s">
        <v>375</v>
      </c>
      <c r="I13" s="348" t="s">
        <v>21</v>
      </c>
      <c r="J13" s="348" t="s">
        <v>382</v>
      </c>
      <c r="K13" s="348" t="s">
        <v>240</v>
      </c>
      <c r="L13" s="349">
        <v>407.47</v>
      </c>
      <c r="M13" s="349">
        <v>528.51</v>
      </c>
      <c r="N13" s="349">
        <v>15770.34</v>
      </c>
      <c r="O13" s="350">
        <f>SUM(L11:N13)</f>
        <v>153202.76</v>
      </c>
      <c r="P13" s="351" t="s">
        <v>377</v>
      </c>
    </row>
    <row r="14" spans="1:16" x14ac:dyDescent="0.25">
      <c r="H14" s="352" t="s">
        <v>375</v>
      </c>
      <c r="I14" s="352" t="s">
        <v>21</v>
      </c>
      <c r="J14" s="352" t="s">
        <v>55</v>
      </c>
      <c r="K14" s="352" t="s">
        <v>54</v>
      </c>
      <c r="L14" s="353">
        <v>0</v>
      </c>
      <c r="M14" s="353">
        <v>0</v>
      </c>
      <c r="N14" s="353">
        <v>0</v>
      </c>
    </row>
    <row r="15" spans="1:16" x14ac:dyDescent="0.25">
      <c r="H15" s="352" t="s">
        <v>375</v>
      </c>
      <c r="I15" s="352" t="s">
        <v>21</v>
      </c>
      <c r="J15" s="352" t="s">
        <v>55</v>
      </c>
      <c r="K15" s="352" t="s">
        <v>66</v>
      </c>
      <c r="L15" s="353">
        <v>216.93</v>
      </c>
      <c r="M15" s="353">
        <v>665.88</v>
      </c>
      <c r="N15" s="353">
        <v>2152.15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375</v>
      </c>
      <c r="I16" s="352" t="s">
        <v>21</v>
      </c>
      <c r="J16" s="352" t="s">
        <v>55</v>
      </c>
      <c r="K16" s="352" t="s">
        <v>67</v>
      </c>
      <c r="L16" s="353">
        <v>1086.95</v>
      </c>
      <c r="M16" s="353">
        <v>59.3</v>
      </c>
      <c r="N16" s="353">
        <v>4825.76</v>
      </c>
    </row>
    <row r="17" spans="1:16" x14ac:dyDescent="0.25">
      <c r="A17" s="336" t="s">
        <v>38</v>
      </c>
      <c r="B17" s="415">
        <f>SUM(D10:F10)</f>
        <v>867944.04</v>
      </c>
      <c r="D17" s="502" t="s">
        <v>81</v>
      </c>
      <c r="E17" s="502"/>
      <c r="F17" s="360">
        <f>O10/B21</f>
        <v>0.25509135598708593</v>
      </c>
      <c r="H17" s="352" t="s">
        <v>375</v>
      </c>
      <c r="I17" s="352" t="s">
        <v>21</v>
      </c>
      <c r="J17" s="352" t="s">
        <v>55</v>
      </c>
      <c r="K17" s="352" t="s">
        <v>68</v>
      </c>
      <c r="L17" s="353">
        <v>1223.5</v>
      </c>
      <c r="M17" s="353">
        <v>630.33000000000004</v>
      </c>
      <c r="N17" s="353">
        <v>4232.54</v>
      </c>
    </row>
    <row r="18" spans="1:16" x14ac:dyDescent="0.25">
      <c r="A18" s="336" t="s">
        <v>39</v>
      </c>
      <c r="B18" s="415">
        <f>SUM(D11:F11)</f>
        <v>150780.53999999998</v>
      </c>
      <c r="D18" s="481" t="s">
        <v>253</v>
      </c>
      <c r="E18" s="481"/>
      <c r="F18" s="360">
        <f>O13/B21</f>
        <v>0.14951223001671343</v>
      </c>
      <c r="H18" s="352" t="s">
        <v>375</v>
      </c>
      <c r="I18" s="352" t="s">
        <v>21</v>
      </c>
      <c r="J18" s="352" t="s">
        <v>55</v>
      </c>
      <c r="K18" s="352" t="s">
        <v>72</v>
      </c>
      <c r="L18" s="353">
        <v>2589.21</v>
      </c>
      <c r="M18" s="353">
        <v>1185.9000000000001</v>
      </c>
      <c r="N18" s="353">
        <v>9601.3799999999992</v>
      </c>
    </row>
    <row r="19" spans="1:16" x14ac:dyDescent="0.25">
      <c r="A19" s="336" t="s">
        <v>2</v>
      </c>
      <c r="B19" s="415">
        <f>SUM(D9:F9)</f>
        <v>777.16</v>
      </c>
      <c r="D19" s="336" t="s">
        <v>78</v>
      </c>
      <c r="F19" s="360">
        <f>O22/B21</f>
        <v>3.1099203481112898E-2</v>
      </c>
      <c r="H19" s="352" t="s">
        <v>375</v>
      </c>
      <c r="I19" s="352" t="s">
        <v>21</v>
      </c>
      <c r="J19" s="352" t="s">
        <v>183</v>
      </c>
      <c r="K19" s="352" t="s">
        <v>360</v>
      </c>
      <c r="L19" s="353">
        <v>226.36</v>
      </c>
      <c r="M19" s="353">
        <v>236.98</v>
      </c>
      <c r="N19" s="353">
        <v>1372.95</v>
      </c>
    </row>
    <row r="20" spans="1:16" x14ac:dyDescent="0.25">
      <c r="A20" s="336" t="s">
        <v>3</v>
      </c>
      <c r="B20" s="415">
        <f>SUM(D8:F8)</f>
        <v>5182.0600000000004</v>
      </c>
      <c r="D20" s="481" t="s">
        <v>42</v>
      </c>
      <c r="E20" s="481"/>
      <c r="F20" s="360">
        <f>O26/B21</f>
        <v>0.36610372877955127</v>
      </c>
      <c r="H20" s="352" t="s">
        <v>375</v>
      </c>
      <c r="I20" s="352" t="s">
        <v>21</v>
      </c>
      <c r="J20" s="352" t="s">
        <v>183</v>
      </c>
      <c r="K20" s="352" t="s">
        <v>361</v>
      </c>
      <c r="L20" s="353">
        <v>36.82</v>
      </c>
      <c r="M20" s="353">
        <v>0</v>
      </c>
      <c r="N20" s="353">
        <v>159.66999999999999</v>
      </c>
    </row>
    <row r="21" spans="1:16" ht="15.75" thickBot="1" x14ac:dyDescent="0.3">
      <c r="A21" s="361"/>
      <c r="B21" s="416">
        <f>SUM(B17:B20)</f>
        <v>1024683.8000000002</v>
      </c>
      <c r="F21" s="363">
        <f>SUM(F17:F20)</f>
        <v>0.80180651826446359</v>
      </c>
      <c r="H21" s="352" t="s">
        <v>375</v>
      </c>
      <c r="I21" s="352" t="s">
        <v>21</v>
      </c>
      <c r="J21" s="352" t="s">
        <v>183</v>
      </c>
      <c r="K21" s="352" t="s">
        <v>364</v>
      </c>
      <c r="L21" s="353">
        <v>327.86</v>
      </c>
      <c r="M21" s="353">
        <v>0</v>
      </c>
      <c r="N21" s="353">
        <v>0</v>
      </c>
    </row>
    <row r="22" spans="1:16" x14ac:dyDescent="0.25">
      <c r="E22" s="390" t="s">
        <v>356</v>
      </c>
      <c r="F22" s="417">
        <v>185</v>
      </c>
      <c r="H22" s="352" t="s">
        <v>375</v>
      </c>
      <c r="I22" s="352" t="s">
        <v>21</v>
      </c>
      <c r="J22" s="352" t="s">
        <v>183</v>
      </c>
      <c r="K22" s="352" t="s">
        <v>72</v>
      </c>
      <c r="L22" s="353">
        <v>50.67</v>
      </c>
      <c r="M22" s="353">
        <v>0</v>
      </c>
      <c r="N22" s="353">
        <v>985.71</v>
      </c>
      <c r="O22" s="364">
        <f>SUM(L14:N22)</f>
        <v>31866.85</v>
      </c>
      <c r="P22" s="365" t="s">
        <v>378</v>
      </c>
    </row>
    <row r="23" spans="1:16" x14ac:dyDescent="0.25">
      <c r="E23" s="390"/>
      <c r="F23" s="417"/>
      <c r="H23" s="366" t="s">
        <v>375</v>
      </c>
      <c r="I23" s="366" t="s">
        <v>43</v>
      </c>
      <c r="J23" s="366" t="s">
        <v>21</v>
      </c>
      <c r="K23" s="366" t="s">
        <v>21</v>
      </c>
      <c r="L23" s="367">
        <v>38062.769999999997</v>
      </c>
      <c r="M23" s="367">
        <v>6463.8</v>
      </c>
      <c r="N23" s="367">
        <v>110414.98</v>
      </c>
    </row>
    <row r="24" spans="1:16" x14ac:dyDescent="0.25">
      <c r="H24" s="366" t="s">
        <v>375</v>
      </c>
      <c r="I24" s="366" t="s">
        <v>45</v>
      </c>
      <c r="J24" s="366" t="s">
        <v>21</v>
      </c>
      <c r="K24" s="366" t="s">
        <v>21</v>
      </c>
      <c r="L24" s="367">
        <v>28827.74</v>
      </c>
      <c r="M24" s="367">
        <v>11966.49</v>
      </c>
      <c r="N24" s="367">
        <v>107129.60000000001</v>
      </c>
    </row>
    <row r="25" spans="1:16" x14ac:dyDescent="0.25">
      <c r="H25" s="366" t="s">
        <v>375</v>
      </c>
      <c r="I25" s="366" t="s">
        <v>46</v>
      </c>
      <c r="J25" s="366" t="s">
        <v>21</v>
      </c>
      <c r="K25" s="366" t="s">
        <v>21</v>
      </c>
      <c r="L25" s="367">
        <v>13785.63</v>
      </c>
      <c r="M25" s="367">
        <v>5228.01</v>
      </c>
      <c r="N25" s="367">
        <v>38590.79</v>
      </c>
    </row>
    <row r="26" spans="1:16" x14ac:dyDescent="0.25">
      <c r="B26" s="414"/>
      <c r="H26" s="366" t="s">
        <v>375</v>
      </c>
      <c r="I26" s="366" t="s">
        <v>50</v>
      </c>
      <c r="J26" s="366" t="s">
        <v>21</v>
      </c>
      <c r="K26" s="366" t="s">
        <v>21</v>
      </c>
      <c r="L26" s="367">
        <v>3572.01</v>
      </c>
      <c r="M26" s="367">
        <v>2614.9499999999998</v>
      </c>
      <c r="N26" s="367">
        <v>8483.7900000000009</v>
      </c>
      <c r="O26" s="368">
        <f>SUM(L23:N26)</f>
        <v>375140.56</v>
      </c>
      <c r="P26" s="369" t="s">
        <v>373</v>
      </c>
    </row>
    <row r="27" spans="1:16" x14ac:dyDescent="0.25">
      <c r="H27" s="340" t="s">
        <v>375</v>
      </c>
      <c r="I27" s="340" t="s">
        <v>21</v>
      </c>
      <c r="J27" s="340" t="s">
        <v>21</v>
      </c>
      <c r="K27" s="340" t="s">
        <v>21</v>
      </c>
      <c r="L27" s="341">
        <v>38231.57</v>
      </c>
      <c r="M27" s="341">
        <v>10971.11</v>
      </c>
      <c r="N27" s="341">
        <v>33094.75</v>
      </c>
    </row>
    <row r="28" spans="1:16" x14ac:dyDescent="0.25">
      <c r="H28" s="340" t="s">
        <v>375</v>
      </c>
      <c r="I28" s="340" t="s">
        <v>43</v>
      </c>
      <c r="J28" s="340" t="s">
        <v>52</v>
      </c>
      <c r="K28" s="340" t="s">
        <v>178</v>
      </c>
      <c r="L28" s="341">
        <v>229.21</v>
      </c>
      <c r="M28" s="341">
        <v>0</v>
      </c>
      <c r="N28" s="341">
        <v>5322.07</v>
      </c>
    </row>
    <row r="29" spans="1:16" x14ac:dyDescent="0.25">
      <c r="H29" s="340" t="s">
        <v>375</v>
      </c>
      <c r="I29" s="340" t="s">
        <v>43</v>
      </c>
      <c r="J29" s="340" t="s">
        <v>52</v>
      </c>
      <c r="K29" s="340" t="s">
        <v>210</v>
      </c>
      <c r="L29" s="341">
        <v>346.39</v>
      </c>
      <c r="M29" s="341">
        <v>0</v>
      </c>
      <c r="N29" s="341">
        <v>684.35</v>
      </c>
    </row>
    <row r="30" spans="1:16" x14ac:dyDescent="0.25">
      <c r="H30" s="340" t="s">
        <v>375</v>
      </c>
      <c r="I30" s="340" t="s">
        <v>43</v>
      </c>
      <c r="J30" s="340" t="s">
        <v>382</v>
      </c>
      <c r="K30" s="340" t="s">
        <v>384</v>
      </c>
      <c r="L30" s="341">
        <v>0</v>
      </c>
      <c r="M30" s="341">
        <v>125.35</v>
      </c>
      <c r="N30" s="341">
        <v>3247.79</v>
      </c>
    </row>
    <row r="31" spans="1:16" x14ac:dyDescent="0.25">
      <c r="D31" s="345"/>
      <c r="E31" s="345"/>
      <c r="F31" s="345"/>
      <c r="H31" s="340" t="s">
        <v>375</v>
      </c>
      <c r="I31" s="340" t="s">
        <v>43</v>
      </c>
      <c r="J31" s="340" t="s">
        <v>183</v>
      </c>
      <c r="K31" s="340" t="s">
        <v>361</v>
      </c>
      <c r="L31" s="341">
        <v>0</v>
      </c>
      <c r="M31" s="341">
        <v>0</v>
      </c>
      <c r="N31" s="341">
        <v>466.01</v>
      </c>
    </row>
    <row r="32" spans="1:16" x14ac:dyDescent="0.25">
      <c r="D32" s="345"/>
      <c r="E32" s="345"/>
      <c r="F32" s="345"/>
      <c r="H32" s="340" t="s">
        <v>375</v>
      </c>
      <c r="I32" s="340" t="s">
        <v>45</v>
      </c>
      <c r="J32" s="340" t="s">
        <v>52</v>
      </c>
      <c r="K32" s="340" t="s">
        <v>178</v>
      </c>
      <c r="L32" s="341">
        <v>0</v>
      </c>
      <c r="M32" s="341">
        <v>0</v>
      </c>
      <c r="N32" s="341">
        <v>7311</v>
      </c>
    </row>
    <row r="33" spans="8:14" x14ac:dyDescent="0.25">
      <c r="H33" s="340" t="s">
        <v>375</v>
      </c>
      <c r="I33" s="340" t="s">
        <v>45</v>
      </c>
      <c r="J33" s="340" t="s">
        <v>382</v>
      </c>
      <c r="K33" s="340" t="s">
        <v>384</v>
      </c>
      <c r="L33" s="341">
        <v>0</v>
      </c>
      <c r="M33" s="341">
        <v>0</v>
      </c>
      <c r="N33" s="341">
        <v>1999.35</v>
      </c>
    </row>
    <row r="34" spans="8:14" x14ac:dyDescent="0.25">
      <c r="H34" s="340" t="s">
        <v>375</v>
      </c>
      <c r="I34" s="340" t="s">
        <v>45</v>
      </c>
      <c r="J34" s="340" t="s">
        <v>382</v>
      </c>
      <c r="K34" s="340" t="s">
        <v>240</v>
      </c>
      <c r="L34" s="341">
        <v>0</v>
      </c>
      <c r="M34" s="341">
        <v>0</v>
      </c>
      <c r="N34" s="341">
        <v>14230.94</v>
      </c>
    </row>
    <row r="35" spans="8:14" x14ac:dyDescent="0.25">
      <c r="H35" s="340" t="s">
        <v>375</v>
      </c>
      <c r="I35" s="340" t="s">
        <v>45</v>
      </c>
      <c r="J35" s="340" t="s">
        <v>55</v>
      </c>
      <c r="K35" s="340" t="s">
        <v>72</v>
      </c>
      <c r="L35" s="341">
        <v>0</v>
      </c>
      <c r="M35" s="341">
        <v>0</v>
      </c>
      <c r="N35" s="341">
        <v>469.64</v>
      </c>
    </row>
    <row r="36" spans="8:14" x14ac:dyDescent="0.25">
      <c r="H36" s="340" t="s">
        <v>375</v>
      </c>
      <c r="I36" s="340" t="s">
        <v>45</v>
      </c>
      <c r="J36" s="340" t="s">
        <v>183</v>
      </c>
      <c r="K36" s="340" t="s">
        <v>360</v>
      </c>
      <c r="L36" s="341">
        <v>327.41000000000003</v>
      </c>
      <c r="M36" s="341">
        <v>517.04999999999995</v>
      </c>
      <c r="N36" s="341">
        <v>4790.4799999999996</v>
      </c>
    </row>
    <row r="37" spans="8:14" x14ac:dyDescent="0.25">
      <c r="H37" s="340" t="s">
        <v>375</v>
      </c>
      <c r="I37" s="340" t="s">
        <v>45</v>
      </c>
      <c r="J37" s="340" t="s">
        <v>183</v>
      </c>
      <c r="K37" s="340" t="s">
        <v>361</v>
      </c>
      <c r="L37" s="341">
        <v>0</v>
      </c>
      <c r="M37" s="341">
        <v>917.36</v>
      </c>
      <c r="N37" s="341">
        <v>1560.9</v>
      </c>
    </row>
    <row r="38" spans="8:14" x14ac:dyDescent="0.25">
      <c r="H38" s="340" t="s">
        <v>375</v>
      </c>
      <c r="I38" s="340" t="s">
        <v>45</v>
      </c>
      <c r="J38" s="340" t="s">
        <v>183</v>
      </c>
      <c r="K38" s="340" t="s">
        <v>362</v>
      </c>
      <c r="L38" s="341">
        <v>0</v>
      </c>
      <c r="M38" s="341">
        <v>130.57</v>
      </c>
      <c r="N38" s="341">
        <v>635.44000000000005</v>
      </c>
    </row>
    <row r="39" spans="8:14" x14ac:dyDescent="0.25">
      <c r="H39" s="340" t="s">
        <v>375</v>
      </c>
      <c r="I39" s="340" t="s">
        <v>45</v>
      </c>
      <c r="J39" s="340" t="s">
        <v>183</v>
      </c>
      <c r="K39" s="340" t="s">
        <v>364</v>
      </c>
      <c r="L39" s="341">
        <v>0</v>
      </c>
      <c r="M39" s="341">
        <v>0</v>
      </c>
      <c r="N39" s="341">
        <v>80.02</v>
      </c>
    </row>
    <row r="40" spans="8:14" x14ac:dyDescent="0.25">
      <c r="H40" s="340" t="s">
        <v>375</v>
      </c>
      <c r="I40" s="340" t="s">
        <v>45</v>
      </c>
      <c r="J40" s="340" t="s">
        <v>183</v>
      </c>
      <c r="K40" s="340" t="s">
        <v>72</v>
      </c>
      <c r="L40" s="341">
        <v>0</v>
      </c>
      <c r="M40" s="341">
        <v>0</v>
      </c>
      <c r="N40" s="341">
        <v>274.11</v>
      </c>
    </row>
    <row r="41" spans="8:14" x14ac:dyDescent="0.25">
      <c r="H41" s="340" t="s">
        <v>375</v>
      </c>
      <c r="I41" s="340" t="s">
        <v>46</v>
      </c>
      <c r="J41" s="340" t="s">
        <v>52</v>
      </c>
      <c r="K41" s="340" t="s">
        <v>178</v>
      </c>
      <c r="L41" s="341">
        <v>0</v>
      </c>
      <c r="M41" s="341">
        <v>227.83</v>
      </c>
      <c r="N41" s="341">
        <v>10787.47</v>
      </c>
    </row>
    <row r="42" spans="8:14" x14ac:dyDescent="0.25">
      <c r="H42" s="340" t="s">
        <v>375</v>
      </c>
      <c r="I42" s="340" t="s">
        <v>46</v>
      </c>
      <c r="J42" s="340" t="s">
        <v>52</v>
      </c>
      <c r="K42" s="340" t="s">
        <v>210</v>
      </c>
      <c r="L42" s="341">
        <v>0</v>
      </c>
      <c r="M42" s="341">
        <v>0</v>
      </c>
      <c r="N42" s="341">
        <v>1203.02</v>
      </c>
    </row>
    <row r="43" spans="8:14" x14ac:dyDescent="0.25">
      <c r="H43" s="340" t="s">
        <v>375</v>
      </c>
      <c r="I43" s="340" t="s">
        <v>46</v>
      </c>
      <c r="J43" s="340" t="s">
        <v>183</v>
      </c>
      <c r="K43" s="340" t="s">
        <v>360</v>
      </c>
      <c r="L43" s="341">
        <v>1045.17</v>
      </c>
      <c r="M43" s="341">
        <v>0</v>
      </c>
      <c r="N43" s="341">
        <v>1562.1</v>
      </c>
    </row>
    <row r="44" spans="8:14" x14ac:dyDescent="0.25">
      <c r="H44" s="340" t="s">
        <v>375</v>
      </c>
      <c r="I44" s="340" t="s">
        <v>50</v>
      </c>
      <c r="J44" s="340" t="s">
        <v>52</v>
      </c>
      <c r="K44" s="340" t="s">
        <v>178</v>
      </c>
      <c r="L44" s="341">
        <v>11037.66</v>
      </c>
      <c r="M44" s="341">
        <v>260.97000000000003</v>
      </c>
      <c r="N44" s="341">
        <v>44937.18</v>
      </c>
    </row>
    <row r="45" spans="8:14" x14ac:dyDescent="0.25">
      <c r="H45" s="340" t="s">
        <v>375</v>
      </c>
      <c r="I45" s="340" t="s">
        <v>50</v>
      </c>
      <c r="J45" s="340" t="s">
        <v>52</v>
      </c>
      <c r="K45" s="340" t="s">
        <v>210</v>
      </c>
      <c r="L45" s="341">
        <v>940.17</v>
      </c>
      <c r="M45" s="341">
        <v>1220.0999999999999</v>
      </c>
      <c r="N45" s="341">
        <v>3901.11</v>
      </c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P45"/>
  <sheetViews>
    <sheetView zoomScaleNormal="10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375</v>
      </c>
      <c r="B8" s="340" t="s">
        <v>38</v>
      </c>
      <c r="C8" s="340" t="s">
        <v>3</v>
      </c>
      <c r="D8" s="342">
        <v>294.45999999999998</v>
      </c>
      <c r="E8" s="342">
        <v>0</v>
      </c>
      <c r="F8" s="342">
        <v>4968.95</v>
      </c>
      <c r="H8" s="343" t="s">
        <v>375</v>
      </c>
      <c r="I8" s="343" t="s">
        <v>21</v>
      </c>
      <c r="J8" s="343" t="s">
        <v>52</v>
      </c>
      <c r="K8" s="343" t="s">
        <v>178</v>
      </c>
      <c r="L8" s="344">
        <v>5236.3599999999997</v>
      </c>
      <c r="M8" s="344">
        <v>5412.29</v>
      </c>
      <c r="N8" s="344">
        <v>91188.13</v>
      </c>
    </row>
    <row r="9" spans="1:16" x14ac:dyDescent="0.25">
      <c r="A9" s="340" t="s">
        <v>375</v>
      </c>
      <c r="B9" s="340" t="s">
        <v>38</v>
      </c>
      <c r="C9" s="340" t="s">
        <v>323</v>
      </c>
      <c r="D9" s="342">
        <v>1000.63</v>
      </c>
      <c r="E9" s="342">
        <v>0</v>
      </c>
      <c r="F9" s="342">
        <v>1056.69</v>
      </c>
      <c r="H9" s="343" t="s">
        <v>375</v>
      </c>
      <c r="I9" s="343" t="s">
        <v>21</v>
      </c>
      <c r="J9" s="343" t="s">
        <v>52</v>
      </c>
      <c r="K9" s="343" t="s">
        <v>210</v>
      </c>
      <c r="L9" s="344">
        <v>2018.57</v>
      </c>
      <c r="M9" s="344">
        <v>10813.52</v>
      </c>
      <c r="N9" s="344">
        <v>105047.67999999999</v>
      </c>
    </row>
    <row r="10" spans="1:16" x14ac:dyDescent="0.25">
      <c r="A10" s="340" t="s">
        <v>375</v>
      </c>
      <c r="B10" s="340" t="s">
        <v>38</v>
      </c>
      <c r="C10" s="340" t="s">
        <v>41</v>
      </c>
      <c r="D10" s="342">
        <v>52691.360000000001</v>
      </c>
      <c r="E10" s="342">
        <v>74829.09</v>
      </c>
      <c r="F10" s="342">
        <v>683881.94</v>
      </c>
      <c r="H10" s="343" t="s">
        <v>375</v>
      </c>
      <c r="I10" s="343" t="s">
        <v>21</v>
      </c>
      <c r="J10" s="343" t="s">
        <v>52</v>
      </c>
      <c r="K10" s="343" t="s">
        <v>72</v>
      </c>
      <c r="L10" s="344">
        <v>3378.23</v>
      </c>
      <c r="M10" s="344">
        <v>59.48</v>
      </c>
      <c r="N10" s="344">
        <v>2773.32</v>
      </c>
      <c r="O10" s="346">
        <f>SUM(L8:N10)</f>
        <v>225927.58000000002</v>
      </c>
      <c r="P10" s="347" t="s">
        <v>135</v>
      </c>
    </row>
    <row r="11" spans="1:16" x14ac:dyDescent="0.25">
      <c r="A11" s="340" t="s">
        <v>375</v>
      </c>
      <c r="B11" s="340" t="s">
        <v>39</v>
      </c>
      <c r="C11" s="340" t="s">
        <v>41</v>
      </c>
      <c r="D11" s="342">
        <v>15591.86</v>
      </c>
      <c r="E11" s="342">
        <v>18733.96</v>
      </c>
      <c r="F11" s="342">
        <v>97689.71</v>
      </c>
      <c r="H11" s="348" t="s">
        <v>375</v>
      </c>
      <c r="I11" s="348" t="s">
        <v>21</v>
      </c>
      <c r="J11" s="348" t="s">
        <v>382</v>
      </c>
      <c r="K11" s="348" t="s">
        <v>383</v>
      </c>
      <c r="L11" s="349">
        <v>1985.7</v>
      </c>
      <c r="M11" s="349">
        <v>1645.91</v>
      </c>
      <c r="N11" s="349">
        <v>98469.69</v>
      </c>
    </row>
    <row r="12" spans="1:16" x14ac:dyDescent="0.25">
      <c r="H12" s="348" t="s">
        <v>375</v>
      </c>
      <c r="I12" s="348" t="s">
        <v>21</v>
      </c>
      <c r="J12" s="348" t="s">
        <v>382</v>
      </c>
      <c r="K12" s="348" t="s">
        <v>384</v>
      </c>
      <c r="L12" s="349">
        <v>1134.9100000000001</v>
      </c>
      <c r="M12" s="349">
        <v>3008.93</v>
      </c>
      <c r="N12" s="349">
        <v>42656.3</v>
      </c>
    </row>
    <row r="13" spans="1:16" x14ac:dyDescent="0.25">
      <c r="H13" s="348" t="s">
        <v>375</v>
      </c>
      <c r="I13" s="348" t="s">
        <v>21</v>
      </c>
      <c r="J13" s="348" t="s">
        <v>382</v>
      </c>
      <c r="K13" s="348" t="s">
        <v>240</v>
      </c>
      <c r="L13" s="349">
        <v>225.07</v>
      </c>
      <c r="M13" s="349">
        <v>262.85000000000002</v>
      </c>
      <c r="N13" s="349">
        <v>9695.73</v>
      </c>
      <c r="O13" s="350">
        <f>SUM(L11:N13)</f>
        <v>159085.09000000003</v>
      </c>
      <c r="P13" s="351" t="s">
        <v>377</v>
      </c>
    </row>
    <row r="14" spans="1:16" x14ac:dyDescent="0.25">
      <c r="H14" s="352" t="s">
        <v>375</v>
      </c>
      <c r="I14" s="352" t="s">
        <v>21</v>
      </c>
      <c r="J14" s="352" t="s">
        <v>55</v>
      </c>
      <c r="K14" s="352" t="s">
        <v>54</v>
      </c>
      <c r="L14" s="353">
        <v>621.89</v>
      </c>
      <c r="M14" s="353">
        <v>3387.09</v>
      </c>
      <c r="N14" s="353">
        <v>5325.37</v>
      </c>
    </row>
    <row r="15" spans="1:16" x14ac:dyDescent="0.25">
      <c r="H15" s="352" t="s">
        <v>375</v>
      </c>
      <c r="I15" s="352" t="s">
        <v>21</v>
      </c>
      <c r="J15" s="352" t="s">
        <v>55</v>
      </c>
      <c r="K15" s="352" t="s">
        <v>66</v>
      </c>
      <c r="L15" s="353">
        <v>0</v>
      </c>
      <c r="M15" s="353">
        <v>638.47</v>
      </c>
      <c r="N15" s="353">
        <v>1778.42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375</v>
      </c>
      <c r="I16" s="352" t="s">
        <v>21</v>
      </c>
      <c r="J16" s="352" t="s">
        <v>55</v>
      </c>
      <c r="K16" s="352" t="s">
        <v>67</v>
      </c>
      <c r="L16" s="353">
        <v>2863.69</v>
      </c>
      <c r="M16" s="353">
        <v>91.72</v>
      </c>
      <c r="N16" s="353">
        <v>7051.15</v>
      </c>
    </row>
    <row r="17" spans="1:16" x14ac:dyDescent="0.25">
      <c r="A17" s="336" t="s">
        <v>38</v>
      </c>
      <c r="B17" s="415">
        <f>SUM(D10:F10)</f>
        <v>811402.3899999999</v>
      </c>
      <c r="D17" s="502" t="s">
        <v>81</v>
      </c>
      <c r="E17" s="502"/>
      <c r="F17" s="360">
        <f>O10/B21</f>
        <v>0.2376337387777388</v>
      </c>
      <c r="H17" s="352" t="s">
        <v>375</v>
      </c>
      <c r="I17" s="352" t="s">
        <v>21</v>
      </c>
      <c r="J17" s="352" t="s">
        <v>55</v>
      </c>
      <c r="K17" s="352" t="s">
        <v>68</v>
      </c>
      <c r="L17" s="353">
        <v>341.39</v>
      </c>
      <c r="M17" s="353">
        <v>0</v>
      </c>
      <c r="N17" s="353">
        <v>3092.53</v>
      </c>
    </row>
    <row r="18" spans="1:16" x14ac:dyDescent="0.25">
      <c r="A18" s="336" t="s">
        <v>39</v>
      </c>
      <c r="B18" s="415">
        <f>SUM(D11:F11)</f>
        <v>132015.53</v>
      </c>
      <c r="D18" s="481" t="s">
        <v>253</v>
      </c>
      <c r="E18" s="481"/>
      <c r="F18" s="360">
        <f>O13/B21</f>
        <v>0.1673278876376805</v>
      </c>
      <c r="H18" s="352" t="s">
        <v>375</v>
      </c>
      <c r="I18" s="352" t="s">
        <v>21</v>
      </c>
      <c r="J18" s="352" t="s">
        <v>55</v>
      </c>
      <c r="K18" s="352" t="s">
        <v>72</v>
      </c>
      <c r="L18" s="353">
        <v>923.85</v>
      </c>
      <c r="M18" s="353">
        <v>1563.15</v>
      </c>
      <c r="N18" s="353">
        <v>14392.59</v>
      </c>
    </row>
    <row r="19" spans="1:16" x14ac:dyDescent="0.25">
      <c r="A19" s="336" t="s">
        <v>2</v>
      </c>
      <c r="B19" s="415">
        <f>SUM(D9:F9)</f>
        <v>2057.3200000000002</v>
      </c>
      <c r="D19" s="336" t="s">
        <v>78</v>
      </c>
      <c r="F19" s="360">
        <f>O21/B21</f>
        <v>4.9249591357204213E-2</v>
      </c>
      <c r="H19" s="352" t="s">
        <v>375</v>
      </c>
      <c r="I19" s="352" t="s">
        <v>21</v>
      </c>
      <c r="J19" s="352" t="s">
        <v>183</v>
      </c>
      <c r="K19" s="352" t="s">
        <v>363</v>
      </c>
      <c r="L19" s="353">
        <v>0</v>
      </c>
      <c r="M19" s="353">
        <v>186.61</v>
      </c>
      <c r="N19" s="353">
        <v>1697.16</v>
      </c>
    </row>
    <row r="20" spans="1:16" x14ac:dyDescent="0.25">
      <c r="A20" s="336" t="s">
        <v>3</v>
      </c>
      <c r="B20" s="415">
        <f>SUM(D8:F8)</f>
        <v>5263.41</v>
      </c>
      <c r="D20" s="481" t="s">
        <v>42</v>
      </c>
      <c r="E20" s="481"/>
      <c r="F20" s="360">
        <f>O25/B21</f>
        <v>0.35292945122195263</v>
      </c>
      <c r="H20" s="352" t="s">
        <v>375</v>
      </c>
      <c r="I20" s="352" t="s">
        <v>21</v>
      </c>
      <c r="J20" s="352" t="s">
        <v>183</v>
      </c>
      <c r="K20" s="352" t="s">
        <v>364</v>
      </c>
      <c r="L20" s="353">
        <v>0</v>
      </c>
      <c r="M20" s="353">
        <v>0</v>
      </c>
      <c r="N20" s="353">
        <v>1882.7</v>
      </c>
    </row>
    <row r="21" spans="1:16" ht="15.75" thickBot="1" x14ac:dyDescent="0.3">
      <c r="A21" s="361"/>
      <c r="B21" s="416">
        <f>SUM(B17:B20)</f>
        <v>950738.64999999991</v>
      </c>
      <c r="F21" s="363">
        <f>SUM(F17:F20)</f>
        <v>0.80714066899457615</v>
      </c>
      <c r="H21" s="352" t="s">
        <v>375</v>
      </c>
      <c r="I21" s="352" t="s">
        <v>21</v>
      </c>
      <c r="J21" s="352" t="s">
        <v>183</v>
      </c>
      <c r="K21" s="352" t="s">
        <v>72</v>
      </c>
      <c r="L21" s="353">
        <v>0</v>
      </c>
      <c r="M21" s="353">
        <v>0</v>
      </c>
      <c r="N21" s="353">
        <v>985.71</v>
      </c>
      <c r="O21" s="364">
        <f>SUM(L14:N21)</f>
        <v>46823.49</v>
      </c>
      <c r="P21" s="365" t="s">
        <v>378</v>
      </c>
    </row>
    <row r="22" spans="1:16" x14ac:dyDescent="0.25">
      <c r="E22" s="390" t="s">
        <v>356</v>
      </c>
      <c r="F22" s="417">
        <v>181</v>
      </c>
      <c r="H22" s="366" t="s">
        <v>375</v>
      </c>
      <c r="I22" s="366" t="s">
        <v>43</v>
      </c>
      <c r="J22" s="366" t="s">
        <v>21</v>
      </c>
      <c r="K22" s="366" t="s">
        <v>21</v>
      </c>
      <c r="L22" s="367">
        <v>10028.16</v>
      </c>
      <c r="M22" s="367">
        <v>18723.53</v>
      </c>
      <c r="N22" s="367">
        <v>104375.62</v>
      </c>
    </row>
    <row r="23" spans="1:16" x14ac:dyDescent="0.25">
      <c r="E23" s="390"/>
      <c r="F23" s="417"/>
      <c r="H23" s="366" t="s">
        <v>375</v>
      </c>
      <c r="I23" s="366" t="s">
        <v>45</v>
      </c>
      <c r="J23" s="366" t="s">
        <v>21</v>
      </c>
      <c r="K23" s="366" t="s">
        <v>21</v>
      </c>
      <c r="L23" s="367">
        <v>15770.15</v>
      </c>
      <c r="M23" s="367">
        <v>16753.63</v>
      </c>
      <c r="N23" s="367">
        <v>104732.09</v>
      </c>
    </row>
    <row r="24" spans="1:16" x14ac:dyDescent="0.25">
      <c r="H24" s="366" t="s">
        <v>375</v>
      </c>
      <c r="I24" s="366" t="s">
        <v>46</v>
      </c>
      <c r="J24" s="366" t="s">
        <v>21</v>
      </c>
      <c r="K24" s="366" t="s">
        <v>21</v>
      </c>
      <c r="L24" s="367">
        <v>6207.03</v>
      </c>
      <c r="M24" s="367">
        <v>5286.99</v>
      </c>
      <c r="N24" s="367">
        <v>42554.22</v>
      </c>
    </row>
    <row r="25" spans="1:16" x14ac:dyDescent="0.25">
      <c r="H25" s="366" t="s">
        <v>375</v>
      </c>
      <c r="I25" s="366" t="s">
        <v>50</v>
      </c>
      <c r="J25" s="366" t="s">
        <v>21</v>
      </c>
      <c r="K25" s="366" t="s">
        <v>21</v>
      </c>
      <c r="L25" s="367">
        <v>2019.75</v>
      </c>
      <c r="M25" s="367">
        <v>1817.7</v>
      </c>
      <c r="N25" s="367">
        <v>7274.8</v>
      </c>
      <c r="O25" s="368">
        <f>SUM(L22:N25)</f>
        <v>335543.67000000004</v>
      </c>
      <c r="P25" s="369" t="s">
        <v>373</v>
      </c>
    </row>
    <row r="26" spans="1:16" x14ac:dyDescent="0.25">
      <c r="B26" s="414"/>
      <c r="H26" s="340" t="s">
        <v>375</v>
      </c>
      <c r="I26" s="340" t="s">
        <v>21</v>
      </c>
      <c r="J26" s="340" t="s">
        <v>21</v>
      </c>
      <c r="K26" s="340" t="s">
        <v>21</v>
      </c>
      <c r="L26" s="341">
        <v>13287.33</v>
      </c>
      <c r="M26" s="341">
        <v>16264.19</v>
      </c>
      <c r="N26" s="341">
        <v>32839.96</v>
      </c>
    </row>
    <row r="27" spans="1:16" x14ac:dyDescent="0.25">
      <c r="H27" s="340" t="s">
        <v>375</v>
      </c>
      <c r="I27" s="340" t="s">
        <v>43</v>
      </c>
      <c r="J27" s="340" t="s">
        <v>52</v>
      </c>
      <c r="K27" s="340" t="s">
        <v>178</v>
      </c>
      <c r="L27" s="341">
        <v>0</v>
      </c>
      <c r="M27" s="341">
        <v>0</v>
      </c>
      <c r="N27" s="341">
        <v>4910.68</v>
      </c>
    </row>
    <row r="28" spans="1:16" x14ac:dyDescent="0.25">
      <c r="H28" s="340" t="s">
        <v>375</v>
      </c>
      <c r="I28" s="340" t="s">
        <v>43</v>
      </c>
      <c r="J28" s="340" t="s">
        <v>382</v>
      </c>
      <c r="K28" s="340" t="s">
        <v>384</v>
      </c>
      <c r="L28" s="341">
        <v>0</v>
      </c>
      <c r="M28" s="341">
        <v>518.26</v>
      </c>
      <c r="N28" s="341">
        <v>2451.7399999999998</v>
      </c>
    </row>
    <row r="29" spans="1:16" x14ac:dyDescent="0.25">
      <c r="H29" s="340" t="s">
        <v>375</v>
      </c>
      <c r="I29" s="340" t="s">
        <v>43</v>
      </c>
      <c r="J29" s="340" t="s">
        <v>55</v>
      </c>
      <c r="K29" s="340" t="s">
        <v>54</v>
      </c>
      <c r="L29" s="341">
        <v>0</v>
      </c>
      <c r="M29" s="341">
        <v>0</v>
      </c>
      <c r="N29" s="341">
        <v>67.13</v>
      </c>
    </row>
    <row r="30" spans="1:16" x14ac:dyDescent="0.25">
      <c r="H30" s="340" t="s">
        <v>375</v>
      </c>
      <c r="I30" s="340" t="s">
        <v>43</v>
      </c>
      <c r="J30" s="340" t="s">
        <v>55</v>
      </c>
      <c r="K30" s="340" t="s">
        <v>72</v>
      </c>
      <c r="L30" s="341">
        <v>0</v>
      </c>
      <c r="M30" s="341">
        <v>265.05</v>
      </c>
      <c r="N30" s="341">
        <v>105.22</v>
      </c>
    </row>
    <row r="31" spans="1:16" x14ac:dyDescent="0.25">
      <c r="D31" s="345"/>
      <c r="E31" s="345"/>
      <c r="F31" s="345"/>
      <c r="H31" s="340" t="s">
        <v>375</v>
      </c>
      <c r="I31" s="340" t="s">
        <v>45</v>
      </c>
      <c r="J31" s="340" t="s">
        <v>52</v>
      </c>
      <c r="K31" s="340" t="s">
        <v>178</v>
      </c>
      <c r="L31" s="341">
        <v>0</v>
      </c>
      <c r="M31" s="341">
        <v>260.41000000000003</v>
      </c>
      <c r="N31" s="341">
        <v>7209.6</v>
      </c>
    </row>
    <row r="32" spans="1:16" x14ac:dyDescent="0.25">
      <c r="D32" s="345"/>
      <c r="E32" s="345"/>
      <c r="F32" s="345"/>
      <c r="H32" s="340" t="s">
        <v>375</v>
      </c>
      <c r="I32" s="340" t="s">
        <v>45</v>
      </c>
      <c r="J32" s="340" t="s">
        <v>382</v>
      </c>
      <c r="K32" s="340" t="s">
        <v>384</v>
      </c>
      <c r="L32" s="341">
        <v>0</v>
      </c>
      <c r="M32" s="341">
        <v>276.85000000000002</v>
      </c>
      <c r="N32" s="341">
        <v>1868.91</v>
      </c>
    </row>
    <row r="33" spans="8:14" x14ac:dyDescent="0.25">
      <c r="H33" s="340" t="s">
        <v>375</v>
      </c>
      <c r="I33" s="340" t="s">
        <v>45</v>
      </c>
      <c r="J33" s="340" t="s">
        <v>382</v>
      </c>
      <c r="K33" s="340" t="s">
        <v>240</v>
      </c>
      <c r="L33" s="341">
        <v>0</v>
      </c>
      <c r="M33" s="341">
        <v>271.20999999999998</v>
      </c>
      <c r="N33" s="341">
        <v>13936.41</v>
      </c>
    </row>
    <row r="34" spans="8:14" x14ac:dyDescent="0.25">
      <c r="H34" s="340" t="s">
        <v>375</v>
      </c>
      <c r="I34" s="340" t="s">
        <v>45</v>
      </c>
      <c r="J34" s="340" t="s">
        <v>55</v>
      </c>
      <c r="K34" s="340" t="s">
        <v>72</v>
      </c>
      <c r="L34" s="341">
        <v>0</v>
      </c>
      <c r="M34" s="341">
        <v>101.47</v>
      </c>
      <c r="N34" s="341">
        <v>563.97</v>
      </c>
    </row>
    <row r="35" spans="8:14" x14ac:dyDescent="0.25">
      <c r="H35" s="340" t="s">
        <v>375</v>
      </c>
      <c r="I35" s="340" t="s">
        <v>45</v>
      </c>
      <c r="J35" s="340" t="s">
        <v>183</v>
      </c>
      <c r="K35" s="340" t="s">
        <v>363</v>
      </c>
      <c r="L35" s="341">
        <v>0</v>
      </c>
      <c r="M35" s="341">
        <v>649.62</v>
      </c>
      <c r="N35" s="341">
        <v>548.27</v>
      </c>
    </row>
    <row r="36" spans="8:14" x14ac:dyDescent="0.25">
      <c r="H36" s="340" t="s">
        <v>375</v>
      </c>
      <c r="I36" s="340" t="s">
        <v>45</v>
      </c>
      <c r="J36" s="340" t="s">
        <v>183</v>
      </c>
      <c r="K36" s="340" t="s">
        <v>364</v>
      </c>
      <c r="L36" s="341">
        <v>0</v>
      </c>
      <c r="M36" s="341">
        <v>722.98</v>
      </c>
      <c r="N36" s="341">
        <v>5021.62</v>
      </c>
    </row>
    <row r="37" spans="8:14" x14ac:dyDescent="0.25">
      <c r="H37" s="340" t="s">
        <v>375</v>
      </c>
      <c r="I37" s="340" t="s">
        <v>45</v>
      </c>
      <c r="J37" s="340" t="s">
        <v>183</v>
      </c>
      <c r="K37" s="340" t="s">
        <v>72</v>
      </c>
      <c r="L37" s="341">
        <v>205.57</v>
      </c>
      <c r="M37" s="341">
        <v>304.49</v>
      </c>
      <c r="N37" s="341">
        <v>918.56</v>
      </c>
    </row>
    <row r="38" spans="8:14" x14ac:dyDescent="0.25">
      <c r="H38" s="340" t="s">
        <v>375</v>
      </c>
      <c r="I38" s="340" t="s">
        <v>46</v>
      </c>
      <c r="J38" s="340" t="s">
        <v>52</v>
      </c>
      <c r="K38" s="340" t="s">
        <v>178</v>
      </c>
      <c r="L38" s="341">
        <v>227.83</v>
      </c>
      <c r="M38" s="341">
        <v>358.4</v>
      </c>
      <c r="N38" s="341">
        <v>10702.94</v>
      </c>
    </row>
    <row r="39" spans="8:14" x14ac:dyDescent="0.25">
      <c r="H39" s="340" t="s">
        <v>375</v>
      </c>
      <c r="I39" s="340" t="s">
        <v>46</v>
      </c>
      <c r="J39" s="340" t="s">
        <v>52</v>
      </c>
      <c r="K39" s="340" t="s">
        <v>210</v>
      </c>
      <c r="L39" s="341">
        <v>0</v>
      </c>
      <c r="M39" s="341">
        <v>1208.45</v>
      </c>
      <c r="N39" s="341">
        <v>348.35</v>
      </c>
    </row>
    <row r="40" spans="8:14" x14ac:dyDescent="0.25">
      <c r="H40" s="340" t="s">
        <v>375</v>
      </c>
      <c r="I40" s="340" t="s">
        <v>46</v>
      </c>
      <c r="J40" s="340" t="s">
        <v>183</v>
      </c>
      <c r="K40" s="340" t="s">
        <v>364</v>
      </c>
      <c r="L40" s="341">
        <v>0</v>
      </c>
      <c r="M40" s="341">
        <v>168.93</v>
      </c>
      <c r="N40" s="341">
        <v>8.6999999999999993</v>
      </c>
    </row>
    <row r="41" spans="8:14" x14ac:dyDescent="0.25">
      <c r="H41" s="340" t="s">
        <v>375</v>
      </c>
      <c r="I41" s="340" t="s">
        <v>46</v>
      </c>
      <c r="J41" s="340" t="s">
        <v>183</v>
      </c>
      <c r="K41" s="340" t="s">
        <v>72</v>
      </c>
      <c r="L41" s="341">
        <v>0</v>
      </c>
      <c r="M41" s="341">
        <v>203.03</v>
      </c>
      <c r="N41" s="341">
        <v>0</v>
      </c>
    </row>
    <row r="42" spans="8:14" x14ac:dyDescent="0.25">
      <c r="H42" s="340" t="s">
        <v>375</v>
      </c>
      <c r="I42" s="340" t="s">
        <v>50</v>
      </c>
      <c r="J42" s="340" t="s">
        <v>52</v>
      </c>
      <c r="K42" s="340" t="s">
        <v>178</v>
      </c>
      <c r="L42" s="341">
        <v>610.96</v>
      </c>
      <c r="M42" s="341">
        <v>1879.95</v>
      </c>
      <c r="N42" s="341">
        <v>50818.71</v>
      </c>
    </row>
    <row r="43" spans="8:14" x14ac:dyDescent="0.25">
      <c r="H43" s="340" t="s">
        <v>375</v>
      </c>
      <c r="I43" s="340" t="s">
        <v>50</v>
      </c>
      <c r="J43" s="340" t="s">
        <v>52</v>
      </c>
      <c r="K43" s="340" t="s">
        <v>210</v>
      </c>
      <c r="L43" s="341">
        <v>1219.22</v>
      </c>
      <c r="M43" s="341">
        <v>0</v>
      </c>
      <c r="N43" s="341">
        <v>3996.01</v>
      </c>
    </row>
    <row r="44" spans="8:14" x14ac:dyDescent="0.25">
      <c r="H44" s="340" t="s">
        <v>375</v>
      </c>
      <c r="I44" s="340" t="s">
        <v>50</v>
      </c>
      <c r="J44" s="340" t="s">
        <v>52</v>
      </c>
      <c r="K44" s="340" t="s">
        <v>72</v>
      </c>
      <c r="L44" s="341">
        <v>1272.6500000000001</v>
      </c>
      <c r="M44" s="341">
        <v>0</v>
      </c>
      <c r="N44" s="341">
        <v>6307.3</v>
      </c>
    </row>
    <row r="45" spans="8:14" x14ac:dyDescent="0.25">
      <c r="H45" s="340" t="s">
        <v>375</v>
      </c>
      <c r="I45" s="340" t="s">
        <v>50</v>
      </c>
      <c r="J45" s="340" t="s">
        <v>55</v>
      </c>
      <c r="K45" s="340" t="s">
        <v>54</v>
      </c>
      <c r="L45" s="341">
        <v>0</v>
      </c>
      <c r="M45" s="341">
        <v>457.89</v>
      </c>
      <c r="N45" s="341">
        <v>0</v>
      </c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114E5-6216-4698-BB19-10C678D05F41}">
  <dimension ref="A1:G23"/>
  <sheetViews>
    <sheetView zoomScale="130" zoomScaleNormal="130" workbookViewId="0">
      <selection activeCell="F8" sqref="F8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439</v>
      </c>
      <c r="B8" s="340" t="s">
        <v>38</v>
      </c>
      <c r="C8" s="340" t="s">
        <v>3</v>
      </c>
      <c r="D8" s="342">
        <v>0</v>
      </c>
      <c r="E8" s="342">
        <v>0</v>
      </c>
      <c r="F8" s="342">
        <v>2464.75</v>
      </c>
    </row>
    <row r="9" spans="1:7" x14ac:dyDescent="0.25">
      <c r="A9" s="340" t="s">
        <v>439</v>
      </c>
      <c r="B9" s="340" t="s">
        <v>38</v>
      </c>
      <c r="C9" s="340" t="s">
        <v>323</v>
      </c>
      <c r="D9" s="342">
        <v>14.21</v>
      </c>
      <c r="E9" s="342">
        <v>304.02</v>
      </c>
      <c r="F9" s="342">
        <v>10117.98</v>
      </c>
    </row>
    <row r="10" spans="1:7" x14ac:dyDescent="0.25">
      <c r="A10" s="340" t="s">
        <v>439</v>
      </c>
      <c r="B10" s="340" t="s">
        <v>38</v>
      </c>
      <c r="C10" s="340" t="s">
        <v>41</v>
      </c>
      <c r="D10" s="342">
        <v>92039.88</v>
      </c>
      <c r="E10" s="342">
        <v>138388.51999999999</v>
      </c>
      <c r="F10" s="342">
        <v>1209219.51</v>
      </c>
    </row>
    <row r="11" spans="1:7" x14ac:dyDescent="0.25">
      <c r="A11" s="340" t="s">
        <v>439</v>
      </c>
      <c r="B11" s="340" t="s">
        <v>39</v>
      </c>
      <c r="C11" s="340" t="s">
        <v>41</v>
      </c>
      <c r="D11" s="342">
        <v>19996.310000000001</v>
      </c>
      <c r="E11" s="342">
        <v>25495.14</v>
      </c>
      <c r="F11" s="342">
        <v>96524.08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1439647.91</v>
      </c>
      <c r="E14" s="390"/>
      <c r="F14" s="417"/>
    </row>
    <row r="15" spans="1:7" x14ac:dyDescent="0.25">
      <c r="A15" s="336" t="s">
        <v>39</v>
      </c>
      <c r="B15" s="415">
        <f>SUM(D11:F11)</f>
        <v>142015.53</v>
      </c>
    </row>
    <row r="16" spans="1:7" x14ac:dyDescent="0.25">
      <c r="A16" s="336" t="s">
        <v>2</v>
      </c>
      <c r="B16" s="415">
        <f>SUM(D9:F9)</f>
        <v>10436.209999999999</v>
      </c>
    </row>
    <row r="17" spans="1:6" x14ac:dyDescent="0.25">
      <c r="A17" s="336" t="s">
        <v>3</v>
      </c>
      <c r="B17" s="415">
        <f>SUM(D8:F8)</f>
        <v>2464.75</v>
      </c>
    </row>
    <row r="18" spans="1:6" ht="15.75" thickBot="1" x14ac:dyDescent="0.3">
      <c r="A18" s="361"/>
      <c r="B18" s="416">
        <f>SUM(B14:B17)</f>
        <v>1594564.4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P46"/>
  <sheetViews>
    <sheetView zoomScaleNormal="10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375</v>
      </c>
      <c r="B8" s="340" t="s">
        <v>38</v>
      </c>
      <c r="C8" s="340" t="s">
        <v>3</v>
      </c>
      <c r="D8" s="342">
        <v>0</v>
      </c>
      <c r="E8" s="342">
        <v>0</v>
      </c>
      <c r="F8" s="342">
        <v>5001.59</v>
      </c>
      <c r="H8" s="343" t="s">
        <v>375</v>
      </c>
      <c r="I8" s="343" t="s">
        <v>21</v>
      </c>
      <c r="J8" s="343" t="s">
        <v>52</v>
      </c>
      <c r="K8" s="343" t="s">
        <v>178</v>
      </c>
      <c r="L8" s="344">
        <v>7882.5</v>
      </c>
      <c r="M8" s="344">
        <v>33728.86</v>
      </c>
      <c r="N8" s="344">
        <v>124117.06</v>
      </c>
    </row>
    <row r="9" spans="1:16" x14ac:dyDescent="0.25">
      <c r="A9" s="340" t="s">
        <v>375</v>
      </c>
      <c r="B9" s="340" t="s">
        <v>38</v>
      </c>
      <c r="C9" s="340" t="s">
        <v>323</v>
      </c>
      <c r="D9" s="342">
        <f>27871.04-27871</f>
        <v>4.0000000000873115E-2</v>
      </c>
      <c r="E9" s="342">
        <v>987.48</v>
      </c>
      <c r="F9" s="342">
        <v>60.33</v>
      </c>
      <c r="H9" s="343" t="s">
        <v>375</v>
      </c>
      <c r="I9" s="343" t="s">
        <v>21</v>
      </c>
      <c r="J9" s="343" t="s">
        <v>52</v>
      </c>
      <c r="K9" s="343" t="s">
        <v>210</v>
      </c>
      <c r="L9" s="344">
        <v>11382.06</v>
      </c>
      <c r="M9" s="344">
        <v>7357.22</v>
      </c>
      <c r="N9" s="344">
        <v>94000.72</v>
      </c>
    </row>
    <row r="10" spans="1:16" x14ac:dyDescent="0.25">
      <c r="A10" s="340" t="s">
        <v>375</v>
      </c>
      <c r="B10" s="340" t="s">
        <v>38</v>
      </c>
      <c r="C10" s="340" t="s">
        <v>41</v>
      </c>
      <c r="D10" s="342">
        <v>92408.95</v>
      </c>
      <c r="E10" s="342">
        <v>116255.81</v>
      </c>
      <c r="F10" s="342">
        <v>655437.43999999994</v>
      </c>
      <c r="H10" s="343" t="s">
        <v>375</v>
      </c>
      <c r="I10" s="343" t="s">
        <v>21</v>
      </c>
      <c r="J10" s="343" t="s">
        <v>52</v>
      </c>
      <c r="K10" s="343" t="s">
        <v>72</v>
      </c>
      <c r="L10" s="344">
        <v>28048.31</v>
      </c>
      <c r="M10" s="344">
        <v>8525.7800000000007</v>
      </c>
      <c r="N10" s="344">
        <v>1989.07</v>
      </c>
      <c r="O10" s="346">
        <f>SUM(L8:N10)</f>
        <v>317031.58</v>
      </c>
      <c r="P10" s="347" t="s">
        <v>135</v>
      </c>
    </row>
    <row r="11" spans="1:16" x14ac:dyDescent="0.25">
      <c r="A11" s="340" t="s">
        <v>375</v>
      </c>
      <c r="B11" s="340" t="s">
        <v>39</v>
      </c>
      <c r="C11" s="340" t="s">
        <v>41</v>
      </c>
      <c r="D11" s="342">
        <v>22607.37</v>
      </c>
      <c r="E11" s="342">
        <v>25323.45</v>
      </c>
      <c r="F11" s="342">
        <v>87897.33</v>
      </c>
      <c r="H11" s="348" t="s">
        <v>375</v>
      </c>
      <c r="I11" s="348" t="s">
        <v>21</v>
      </c>
      <c r="J11" s="348" t="s">
        <v>382</v>
      </c>
      <c r="K11" s="348" t="s">
        <v>383</v>
      </c>
      <c r="L11" s="349">
        <v>1097.31</v>
      </c>
      <c r="M11" s="349">
        <v>1359.64</v>
      </c>
      <c r="N11" s="349">
        <v>109159.01</v>
      </c>
    </row>
    <row r="12" spans="1:16" x14ac:dyDescent="0.25">
      <c r="H12" s="348" t="s">
        <v>375</v>
      </c>
      <c r="I12" s="348" t="s">
        <v>21</v>
      </c>
      <c r="J12" s="348" t="s">
        <v>382</v>
      </c>
      <c r="K12" s="348" t="s">
        <v>384</v>
      </c>
      <c r="L12" s="349">
        <v>2848.67</v>
      </c>
      <c r="M12" s="349">
        <v>2179.59</v>
      </c>
      <c r="N12" s="349">
        <v>45939.06</v>
      </c>
    </row>
    <row r="13" spans="1:16" x14ac:dyDescent="0.25">
      <c r="H13" s="348" t="s">
        <v>375</v>
      </c>
      <c r="I13" s="348" t="s">
        <v>21</v>
      </c>
      <c r="J13" s="348" t="s">
        <v>382</v>
      </c>
      <c r="K13" s="348" t="s">
        <v>240</v>
      </c>
      <c r="L13" s="349">
        <v>262.85000000000002</v>
      </c>
      <c r="M13" s="349">
        <v>227.88</v>
      </c>
      <c r="N13" s="349">
        <v>9470.67</v>
      </c>
      <c r="O13" s="350">
        <f>SUM(L11:N13)</f>
        <v>172544.68</v>
      </c>
      <c r="P13" s="351" t="s">
        <v>377</v>
      </c>
    </row>
    <row r="14" spans="1:16" x14ac:dyDescent="0.25">
      <c r="H14" s="352" t="s">
        <v>375</v>
      </c>
      <c r="I14" s="352" t="s">
        <v>21</v>
      </c>
      <c r="J14" s="352" t="s">
        <v>55</v>
      </c>
      <c r="K14" s="352" t="s">
        <v>339</v>
      </c>
      <c r="L14" s="353">
        <v>0</v>
      </c>
      <c r="M14" s="353">
        <v>0</v>
      </c>
      <c r="N14" s="353">
        <v>187.18</v>
      </c>
    </row>
    <row r="15" spans="1:16" x14ac:dyDescent="0.25">
      <c r="H15" s="352" t="s">
        <v>375</v>
      </c>
      <c r="I15" s="352" t="s">
        <v>21</v>
      </c>
      <c r="J15" s="352" t="s">
        <v>55</v>
      </c>
      <c r="K15" s="352" t="s">
        <v>54</v>
      </c>
      <c r="L15" s="353">
        <v>356.34</v>
      </c>
      <c r="M15" s="353">
        <v>2154.17</v>
      </c>
      <c r="N15" s="353">
        <v>3878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375</v>
      </c>
      <c r="I16" s="352" t="s">
        <v>21</v>
      </c>
      <c r="J16" s="352" t="s">
        <v>55</v>
      </c>
      <c r="K16" s="352" t="s">
        <v>66</v>
      </c>
      <c r="L16" s="353">
        <v>213.46</v>
      </c>
      <c r="M16" s="353">
        <v>0</v>
      </c>
      <c r="N16" s="353">
        <v>696.18</v>
      </c>
    </row>
    <row r="17" spans="1:16" x14ac:dyDescent="0.25">
      <c r="A17" s="336" t="s">
        <v>38</v>
      </c>
      <c r="B17" s="415">
        <f>SUM(D10:F10)</f>
        <v>864102.2</v>
      </c>
      <c r="D17" s="502" t="s">
        <v>81</v>
      </c>
      <c r="E17" s="502"/>
      <c r="F17" s="360">
        <f>O10/B21</f>
        <v>0.31514706672188719</v>
      </c>
      <c r="H17" s="352" t="s">
        <v>375</v>
      </c>
      <c r="I17" s="352" t="s">
        <v>21</v>
      </c>
      <c r="J17" s="352" t="s">
        <v>55</v>
      </c>
      <c r="K17" s="352" t="s">
        <v>67</v>
      </c>
      <c r="L17" s="353">
        <v>265.67</v>
      </c>
      <c r="M17" s="353">
        <v>4136.7</v>
      </c>
      <c r="N17" s="353">
        <v>5601.4</v>
      </c>
    </row>
    <row r="18" spans="1:16" x14ac:dyDescent="0.25">
      <c r="A18" s="336" t="s">
        <v>39</v>
      </c>
      <c r="B18" s="415">
        <f>SUM(D11:F11)</f>
        <v>135828.15</v>
      </c>
      <c r="D18" s="481" t="s">
        <v>253</v>
      </c>
      <c r="E18" s="481"/>
      <c r="F18" s="360">
        <f>O13/B21</f>
        <v>0.17151903220640249</v>
      </c>
      <c r="H18" s="352" t="s">
        <v>375</v>
      </c>
      <c r="I18" s="352" t="s">
        <v>21</v>
      </c>
      <c r="J18" s="352" t="s">
        <v>55</v>
      </c>
      <c r="K18" s="352" t="s">
        <v>68</v>
      </c>
      <c r="L18" s="353">
        <v>3115.66</v>
      </c>
      <c r="M18" s="353">
        <v>0</v>
      </c>
      <c r="N18" s="353">
        <v>3493.1</v>
      </c>
    </row>
    <row r="19" spans="1:16" x14ac:dyDescent="0.25">
      <c r="A19" s="336" t="s">
        <v>2</v>
      </c>
      <c r="B19" s="415">
        <f>SUM(D9:F9)</f>
        <v>1047.8500000000008</v>
      </c>
      <c r="D19" s="336" t="s">
        <v>78</v>
      </c>
      <c r="F19" s="360">
        <f>O21/B21</f>
        <v>4.5520417462859772E-2</v>
      </c>
      <c r="H19" s="352" t="s">
        <v>375</v>
      </c>
      <c r="I19" s="352" t="s">
        <v>21</v>
      </c>
      <c r="J19" s="352" t="s">
        <v>55</v>
      </c>
      <c r="K19" s="352" t="s">
        <v>72</v>
      </c>
      <c r="L19" s="353">
        <v>600.67999999999995</v>
      </c>
      <c r="M19" s="353">
        <v>4199.6899999999996</v>
      </c>
      <c r="N19" s="353">
        <v>7471.9</v>
      </c>
    </row>
    <row r="20" spans="1:16" x14ac:dyDescent="0.25">
      <c r="A20" s="336" t="s">
        <v>3</v>
      </c>
      <c r="B20" s="415">
        <f>SUM(D8:F8)</f>
        <v>5001.59</v>
      </c>
      <c r="D20" s="481" t="s">
        <v>42</v>
      </c>
      <c r="E20" s="481"/>
      <c r="F20" s="360">
        <f>O25/B21</f>
        <v>0.36769005071165511</v>
      </c>
      <c r="H20" s="352" t="s">
        <v>375</v>
      </c>
      <c r="I20" s="352" t="s">
        <v>21</v>
      </c>
      <c r="J20" s="352" t="s">
        <v>183</v>
      </c>
      <c r="K20" s="352" t="s">
        <v>360</v>
      </c>
      <c r="L20" s="353">
        <v>2998.86</v>
      </c>
      <c r="M20" s="353">
        <v>514.22</v>
      </c>
      <c r="N20" s="353">
        <v>4697.6499999999996</v>
      </c>
    </row>
    <row r="21" spans="1:16" ht="15.75" thickBot="1" x14ac:dyDescent="0.3">
      <c r="A21" s="361"/>
      <c r="B21" s="416">
        <f>SUM(B17:B20)</f>
        <v>1005979.7899999999</v>
      </c>
      <c r="F21" s="363">
        <f>SUM(F17:F20)</f>
        <v>0.89987656710280461</v>
      </c>
      <c r="H21" s="352" t="s">
        <v>375</v>
      </c>
      <c r="I21" s="352" t="s">
        <v>21</v>
      </c>
      <c r="J21" s="352" t="s">
        <v>183</v>
      </c>
      <c r="K21" s="352" t="s">
        <v>361</v>
      </c>
      <c r="L21" s="353">
        <v>256.75</v>
      </c>
      <c r="M21" s="353">
        <v>0</v>
      </c>
      <c r="N21" s="353">
        <v>955.01</v>
      </c>
      <c r="O21" s="364">
        <f>SUM(L14:N21)</f>
        <v>45792.62</v>
      </c>
      <c r="P21" s="365" t="s">
        <v>378</v>
      </c>
    </row>
    <row r="22" spans="1:16" x14ac:dyDescent="0.25">
      <c r="E22" s="390" t="s">
        <v>356</v>
      </c>
      <c r="F22" s="417">
        <v>185</v>
      </c>
      <c r="H22" s="366" t="s">
        <v>375</v>
      </c>
      <c r="I22" s="366" t="s">
        <v>43</v>
      </c>
      <c r="J22" s="366" t="s">
        <v>21</v>
      </c>
      <c r="K22" s="366" t="s">
        <v>21</v>
      </c>
      <c r="L22" s="367">
        <v>27501.51</v>
      </c>
      <c r="M22" s="367">
        <v>26502.16</v>
      </c>
      <c r="N22" s="367">
        <v>105608.93</v>
      </c>
    </row>
    <row r="23" spans="1:16" x14ac:dyDescent="0.25">
      <c r="E23" s="390"/>
      <c r="F23" s="417"/>
      <c r="H23" s="366" t="s">
        <v>375</v>
      </c>
      <c r="I23" s="366" t="s">
        <v>45</v>
      </c>
      <c r="J23" s="366" t="s">
        <v>21</v>
      </c>
      <c r="K23" s="366" t="s">
        <v>21</v>
      </c>
      <c r="L23" s="367">
        <v>20148.64</v>
      </c>
      <c r="M23" s="367">
        <v>19347.330000000002</v>
      </c>
      <c r="N23" s="367">
        <v>106155.35</v>
      </c>
    </row>
    <row r="24" spans="1:16" x14ac:dyDescent="0.25">
      <c r="H24" s="366" t="s">
        <v>375</v>
      </c>
      <c r="I24" s="366" t="s">
        <v>46</v>
      </c>
      <c r="J24" s="366" t="s">
        <v>21</v>
      </c>
      <c r="K24" s="366" t="s">
        <v>21</v>
      </c>
      <c r="L24" s="367">
        <v>6138.53</v>
      </c>
      <c r="M24" s="367">
        <v>8304.68</v>
      </c>
      <c r="N24" s="367">
        <v>39955.74</v>
      </c>
    </row>
    <row r="25" spans="1:16" x14ac:dyDescent="0.25">
      <c r="H25" s="366" t="s">
        <v>375</v>
      </c>
      <c r="I25" s="366" t="s">
        <v>50</v>
      </c>
      <c r="J25" s="366" t="s">
        <v>21</v>
      </c>
      <c r="K25" s="366" t="s">
        <v>21</v>
      </c>
      <c r="L25" s="367">
        <v>1870.53</v>
      </c>
      <c r="M25" s="367">
        <v>3284.71</v>
      </c>
      <c r="N25" s="367">
        <v>5070.6499999999996</v>
      </c>
      <c r="O25" s="368">
        <f>SUM(L22:N25)</f>
        <v>369888.76000000013</v>
      </c>
      <c r="P25" s="369" t="s">
        <v>373</v>
      </c>
    </row>
    <row r="26" spans="1:16" x14ac:dyDescent="0.25">
      <c r="B26" s="414"/>
      <c r="H26" s="340" t="s">
        <v>375</v>
      </c>
      <c r="I26" s="340" t="s">
        <v>21</v>
      </c>
      <c r="J26" s="340" t="s">
        <v>21</v>
      </c>
      <c r="K26" s="340" t="s">
        <v>21</v>
      </c>
      <c r="L26" s="341">
        <v>21766.58</v>
      </c>
      <c r="M26" s="341">
        <v>17421.259999999998</v>
      </c>
      <c r="N26" s="341">
        <v>26562.58</v>
      </c>
    </row>
    <row r="27" spans="1:16" x14ac:dyDescent="0.25">
      <c r="H27" s="340" t="s">
        <v>375</v>
      </c>
      <c r="I27" s="340" t="s">
        <v>43</v>
      </c>
      <c r="J27" s="340" t="s">
        <v>382</v>
      </c>
      <c r="K27" s="340" t="s">
        <v>384</v>
      </c>
      <c r="L27" s="341">
        <v>518.66</v>
      </c>
      <c r="M27" s="341">
        <v>0</v>
      </c>
      <c r="N27" s="341">
        <v>2673.66</v>
      </c>
    </row>
    <row r="28" spans="1:16" x14ac:dyDescent="0.25">
      <c r="H28" s="340" t="s">
        <v>375</v>
      </c>
      <c r="I28" s="340" t="s">
        <v>43</v>
      </c>
      <c r="J28" s="340" t="s">
        <v>55</v>
      </c>
      <c r="K28" s="340" t="s">
        <v>66</v>
      </c>
      <c r="L28" s="341">
        <v>0</v>
      </c>
      <c r="M28" s="341">
        <v>0</v>
      </c>
      <c r="N28" s="341">
        <v>193.05</v>
      </c>
    </row>
    <row r="29" spans="1:16" x14ac:dyDescent="0.25">
      <c r="H29" s="340" t="s">
        <v>375</v>
      </c>
      <c r="I29" s="340" t="s">
        <v>43</v>
      </c>
      <c r="J29" s="340" t="s">
        <v>55</v>
      </c>
      <c r="K29" s="340" t="s">
        <v>67</v>
      </c>
      <c r="L29" s="341">
        <v>0</v>
      </c>
      <c r="M29" s="341">
        <v>0</v>
      </c>
      <c r="N29" s="341">
        <v>1054.23</v>
      </c>
    </row>
    <row r="30" spans="1:16" x14ac:dyDescent="0.25">
      <c r="H30" s="340" t="s">
        <v>375</v>
      </c>
      <c r="I30" s="340" t="s">
        <v>43</v>
      </c>
      <c r="J30" s="340" t="s">
        <v>55</v>
      </c>
      <c r="K30" s="340" t="s">
        <v>72</v>
      </c>
      <c r="L30" s="341">
        <v>307.18</v>
      </c>
      <c r="M30" s="341">
        <v>0</v>
      </c>
      <c r="N30" s="341">
        <v>0</v>
      </c>
    </row>
    <row r="31" spans="1:16" x14ac:dyDescent="0.25">
      <c r="D31" s="345"/>
      <c r="E31" s="345"/>
      <c r="F31" s="345"/>
      <c r="H31" s="340" t="s">
        <v>375</v>
      </c>
      <c r="I31" s="340" t="s">
        <v>45</v>
      </c>
      <c r="J31" s="340" t="s">
        <v>52</v>
      </c>
      <c r="K31" s="340" t="s">
        <v>178</v>
      </c>
      <c r="L31" s="341">
        <v>260.41000000000003</v>
      </c>
      <c r="M31" s="341">
        <v>230.06</v>
      </c>
      <c r="N31" s="341">
        <v>7225.86</v>
      </c>
    </row>
    <row r="32" spans="1:16" x14ac:dyDescent="0.25">
      <c r="D32" s="345"/>
      <c r="E32" s="345"/>
      <c r="F32" s="345"/>
      <c r="H32" s="340" t="s">
        <v>375</v>
      </c>
      <c r="I32" s="340" t="s">
        <v>45</v>
      </c>
      <c r="J32" s="340" t="s">
        <v>52</v>
      </c>
      <c r="K32" s="340" t="s">
        <v>210</v>
      </c>
      <c r="L32" s="341">
        <v>0</v>
      </c>
      <c r="M32" s="341">
        <v>0</v>
      </c>
      <c r="N32" s="341">
        <v>2575.92</v>
      </c>
    </row>
    <row r="33" spans="8:14" x14ac:dyDescent="0.25">
      <c r="H33" s="340" t="s">
        <v>375</v>
      </c>
      <c r="I33" s="340" t="s">
        <v>45</v>
      </c>
      <c r="J33" s="340" t="s">
        <v>382</v>
      </c>
      <c r="K33" s="340" t="s">
        <v>384</v>
      </c>
      <c r="L33" s="341">
        <v>276.85000000000002</v>
      </c>
      <c r="M33" s="341">
        <v>0</v>
      </c>
      <c r="N33" s="341">
        <v>2015.84</v>
      </c>
    </row>
    <row r="34" spans="8:14" x14ac:dyDescent="0.25">
      <c r="H34" s="340" t="s">
        <v>375</v>
      </c>
      <c r="I34" s="340" t="s">
        <v>45</v>
      </c>
      <c r="J34" s="340" t="s">
        <v>382</v>
      </c>
      <c r="K34" s="340" t="s">
        <v>240</v>
      </c>
      <c r="L34" s="341">
        <v>269.70999999999998</v>
      </c>
      <c r="M34" s="341">
        <v>0</v>
      </c>
      <c r="N34" s="341">
        <v>13916.76</v>
      </c>
    </row>
    <row r="35" spans="8:14" x14ac:dyDescent="0.25">
      <c r="H35" s="340" t="s">
        <v>375</v>
      </c>
      <c r="I35" s="340" t="s">
        <v>45</v>
      </c>
      <c r="J35" s="340" t="s">
        <v>183</v>
      </c>
      <c r="K35" s="340" t="s">
        <v>360</v>
      </c>
      <c r="L35" s="341">
        <v>622</v>
      </c>
      <c r="M35" s="341">
        <v>805.34</v>
      </c>
      <c r="N35" s="341">
        <v>4089.86</v>
      </c>
    </row>
    <row r="36" spans="8:14" x14ac:dyDescent="0.25">
      <c r="H36" s="340" t="s">
        <v>375</v>
      </c>
      <c r="I36" s="340" t="s">
        <v>45</v>
      </c>
      <c r="J36" s="340" t="s">
        <v>183</v>
      </c>
      <c r="K36" s="340" t="s">
        <v>361</v>
      </c>
      <c r="L36" s="341">
        <v>304.49</v>
      </c>
      <c r="M36" s="341">
        <v>258.01</v>
      </c>
      <c r="N36" s="341">
        <v>1085.8599999999999</v>
      </c>
    </row>
    <row r="37" spans="8:14" x14ac:dyDescent="0.25">
      <c r="H37" s="340" t="s">
        <v>375</v>
      </c>
      <c r="I37" s="340" t="s">
        <v>45</v>
      </c>
      <c r="J37" s="340" t="s">
        <v>183</v>
      </c>
      <c r="K37" s="340" t="s">
        <v>362</v>
      </c>
      <c r="L37" s="341">
        <v>291.33</v>
      </c>
      <c r="M37" s="341">
        <v>0</v>
      </c>
      <c r="N37" s="341">
        <v>802.96</v>
      </c>
    </row>
    <row r="38" spans="8:14" x14ac:dyDescent="0.25">
      <c r="H38" s="340" t="s">
        <v>375</v>
      </c>
      <c r="I38" s="340" t="s">
        <v>46</v>
      </c>
      <c r="J38" s="340" t="s">
        <v>52</v>
      </c>
      <c r="K38" s="340" t="s">
        <v>178</v>
      </c>
      <c r="L38" s="341">
        <v>357.86</v>
      </c>
      <c r="M38" s="341">
        <v>438</v>
      </c>
      <c r="N38" s="341">
        <v>10515.09</v>
      </c>
    </row>
    <row r="39" spans="8:14" x14ac:dyDescent="0.25">
      <c r="H39" s="340" t="s">
        <v>375</v>
      </c>
      <c r="I39" s="340" t="s">
        <v>46</v>
      </c>
      <c r="J39" s="340" t="s">
        <v>52</v>
      </c>
      <c r="K39" s="340" t="s">
        <v>210</v>
      </c>
      <c r="L39" s="341">
        <v>1208.45</v>
      </c>
      <c r="M39" s="341">
        <v>0</v>
      </c>
      <c r="N39" s="341">
        <v>587.20000000000005</v>
      </c>
    </row>
    <row r="40" spans="8:14" x14ac:dyDescent="0.25">
      <c r="H40" s="340" t="s">
        <v>375</v>
      </c>
      <c r="I40" s="340" t="s">
        <v>46</v>
      </c>
      <c r="J40" s="340" t="s">
        <v>183</v>
      </c>
      <c r="K40" s="340" t="s">
        <v>360</v>
      </c>
      <c r="L40" s="341">
        <v>263.02999999999997</v>
      </c>
      <c r="M40" s="341">
        <v>0</v>
      </c>
      <c r="N40" s="341">
        <v>0</v>
      </c>
    </row>
    <row r="41" spans="8:14" x14ac:dyDescent="0.25">
      <c r="H41" s="340" t="s">
        <v>375</v>
      </c>
      <c r="I41" s="340" t="s">
        <v>50</v>
      </c>
      <c r="J41" s="340" t="s">
        <v>52</v>
      </c>
      <c r="K41" s="340" t="s">
        <v>178</v>
      </c>
      <c r="L41" s="341">
        <v>1391.44</v>
      </c>
      <c r="M41" s="341">
        <v>787.11</v>
      </c>
      <c r="N41" s="341">
        <v>4441.83</v>
      </c>
    </row>
    <row r="42" spans="8:14" x14ac:dyDescent="0.25">
      <c r="H42" s="340" t="s">
        <v>375</v>
      </c>
      <c r="I42" s="340" t="s">
        <v>50</v>
      </c>
      <c r="J42" s="340" t="s">
        <v>52</v>
      </c>
      <c r="K42" s="340" t="s">
        <v>210</v>
      </c>
      <c r="L42" s="341">
        <v>61.04</v>
      </c>
      <c r="M42" s="341">
        <v>260.39999999999998</v>
      </c>
      <c r="N42" s="341">
        <v>1955.35</v>
      </c>
    </row>
    <row r="43" spans="8:14" x14ac:dyDescent="0.25">
      <c r="H43" s="340" t="s">
        <v>375</v>
      </c>
      <c r="I43" s="340" t="s">
        <v>50</v>
      </c>
      <c r="J43" s="340" t="s">
        <v>382</v>
      </c>
      <c r="K43" s="340" t="s">
        <v>384</v>
      </c>
      <c r="L43" s="341">
        <v>0</v>
      </c>
      <c r="M43" s="341">
        <v>258.49</v>
      </c>
      <c r="N43" s="341">
        <v>252.83</v>
      </c>
    </row>
    <row r="44" spans="8:14" x14ac:dyDescent="0.25">
      <c r="H44" s="340" t="s">
        <v>375</v>
      </c>
      <c r="I44" s="340" t="s">
        <v>50</v>
      </c>
      <c r="J44" s="340" t="s">
        <v>55</v>
      </c>
      <c r="K44" s="340" t="s">
        <v>54</v>
      </c>
      <c r="L44" s="341">
        <v>0</v>
      </c>
      <c r="M44" s="341">
        <v>0</v>
      </c>
      <c r="N44" s="341">
        <v>0</v>
      </c>
    </row>
    <row r="45" spans="8:14" x14ac:dyDescent="0.25">
      <c r="H45" s="340" t="s">
        <v>375</v>
      </c>
      <c r="I45" s="340" t="s">
        <v>50</v>
      </c>
      <c r="J45" s="340" t="s">
        <v>55</v>
      </c>
      <c r="K45" s="340" t="s">
        <v>72</v>
      </c>
      <c r="L45" s="341">
        <v>0</v>
      </c>
      <c r="M45" s="341">
        <v>285.44</v>
      </c>
      <c r="N45" s="341">
        <v>1.1299999999999999</v>
      </c>
    </row>
    <row r="46" spans="8:14" x14ac:dyDescent="0.25">
      <c r="H46" s="340" t="s">
        <v>375</v>
      </c>
      <c r="I46" s="340" t="s">
        <v>50</v>
      </c>
      <c r="J46" s="340" t="s">
        <v>183</v>
      </c>
      <c r="K46" s="340" t="s">
        <v>360</v>
      </c>
      <c r="L46" s="341">
        <v>0</v>
      </c>
      <c r="M46" s="341">
        <v>0</v>
      </c>
      <c r="N46" s="341">
        <v>0</v>
      </c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P44"/>
  <sheetViews>
    <sheetView zoomScaleNormal="10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375</v>
      </c>
      <c r="B8" s="340" t="s">
        <v>38</v>
      </c>
      <c r="C8" s="340" t="s">
        <v>3</v>
      </c>
      <c r="D8" s="342">
        <v>0</v>
      </c>
      <c r="E8" s="342">
        <v>216.58</v>
      </c>
      <c r="F8" s="342">
        <v>5908.64</v>
      </c>
      <c r="H8" s="343" t="s">
        <v>375</v>
      </c>
      <c r="I8" s="343" t="s">
        <v>21</v>
      </c>
      <c r="J8" s="343" t="s">
        <v>52</v>
      </c>
      <c r="K8" s="343" t="s">
        <v>178</v>
      </c>
      <c r="L8" s="344">
        <v>41785.120000000003</v>
      </c>
      <c r="M8" s="344">
        <v>4268.72</v>
      </c>
      <c r="N8" s="344">
        <v>133304.03</v>
      </c>
    </row>
    <row r="9" spans="1:16" x14ac:dyDescent="0.25">
      <c r="A9" s="340" t="s">
        <v>375</v>
      </c>
      <c r="B9" s="340" t="s">
        <v>38</v>
      </c>
      <c r="C9" s="340" t="s">
        <v>323</v>
      </c>
      <c r="D9" s="342">
        <v>976.43</v>
      </c>
      <c r="E9" s="342">
        <v>0.84</v>
      </c>
      <c r="F9" s="342">
        <v>96.4</v>
      </c>
      <c r="H9" s="343" t="s">
        <v>375</v>
      </c>
      <c r="I9" s="343" t="s">
        <v>21</v>
      </c>
      <c r="J9" s="343" t="s">
        <v>52</v>
      </c>
      <c r="K9" s="343" t="s">
        <v>210</v>
      </c>
      <c r="L9" s="344">
        <v>10027.870000000001</v>
      </c>
      <c r="M9" s="344">
        <v>2775.19</v>
      </c>
      <c r="N9" s="344">
        <v>103756.87</v>
      </c>
    </row>
    <row r="10" spans="1:16" x14ac:dyDescent="0.25">
      <c r="A10" s="340" t="s">
        <v>375</v>
      </c>
      <c r="B10" s="340" t="s">
        <v>38</v>
      </c>
      <c r="C10" s="340" t="s">
        <v>41</v>
      </c>
      <c r="D10" s="342">
        <v>168500.8</v>
      </c>
      <c r="E10" s="342">
        <v>38738.97</v>
      </c>
      <c r="F10" s="342">
        <v>714816.34</v>
      </c>
      <c r="H10" s="343" t="s">
        <v>375</v>
      </c>
      <c r="I10" s="343" t="s">
        <v>21</v>
      </c>
      <c r="J10" s="343" t="s">
        <v>52</v>
      </c>
      <c r="K10" s="343" t="s">
        <v>72</v>
      </c>
      <c r="L10" s="344">
        <v>9219.1</v>
      </c>
      <c r="M10" s="344">
        <v>0</v>
      </c>
      <c r="N10" s="344">
        <v>2402.83</v>
      </c>
      <c r="O10" s="346">
        <f>SUM(L8:N10)</f>
        <v>307539.73</v>
      </c>
      <c r="P10" s="347" t="s">
        <v>135</v>
      </c>
    </row>
    <row r="11" spans="1:16" x14ac:dyDescent="0.25">
      <c r="A11" s="340" t="s">
        <v>375</v>
      </c>
      <c r="B11" s="340" t="s">
        <v>39</v>
      </c>
      <c r="C11" s="340" t="s">
        <v>41</v>
      </c>
      <c r="D11" s="342">
        <v>31777.63</v>
      </c>
      <c r="E11" s="342">
        <v>7418.39</v>
      </c>
      <c r="F11" s="342">
        <v>97004.89</v>
      </c>
      <c r="H11" s="348" t="s">
        <v>375</v>
      </c>
      <c r="I11" s="348" t="s">
        <v>21</v>
      </c>
      <c r="J11" s="348" t="s">
        <v>382</v>
      </c>
      <c r="K11" s="348" t="s">
        <v>383</v>
      </c>
      <c r="L11" s="349">
        <v>1555.78</v>
      </c>
      <c r="M11" s="349">
        <v>1176.26</v>
      </c>
      <c r="N11" s="349">
        <v>107896.35</v>
      </c>
    </row>
    <row r="12" spans="1:16" x14ac:dyDescent="0.25">
      <c r="H12" s="348" t="s">
        <v>375</v>
      </c>
      <c r="I12" s="348" t="s">
        <v>21</v>
      </c>
      <c r="J12" s="348" t="s">
        <v>382</v>
      </c>
      <c r="K12" s="348" t="s">
        <v>384</v>
      </c>
      <c r="L12" s="349">
        <v>7647.36</v>
      </c>
      <c r="M12" s="349">
        <v>1580.56</v>
      </c>
      <c r="N12" s="349">
        <v>65657.61</v>
      </c>
    </row>
    <row r="13" spans="1:16" x14ac:dyDescent="0.25">
      <c r="H13" s="348" t="s">
        <v>375</v>
      </c>
      <c r="I13" s="348" t="s">
        <v>21</v>
      </c>
      <c r="J13" s="348" t="s">
        <v>382</v>
      </c>
      <c r="K13" s="348" t="s">
        <v>240</v>
      </c>
      <c r="L13" s="349">
        <v>0</v>
      </c>
      <c r="M13" s="349">
        <v>150.19999999999999</v>
      </c>
      <c r="N13" s="349">
        <v>9566.7800000000007</v>
      </c>
      <c r="O13" s="350">
        <f>SUM(L11:N13)</f>
        <v>195230.9</v>
      </c>
      <c r="P13" s="351" t="s">
        <v>377</v>
      </c>
    </row>
    <row r="14" spans="1:16" x14ac:dyDescent="0.25">
      <c r="H14" s="352" t="s">
        <v>375</v>
      </c>
      <c r="I14" s="352" t="s">
        <v>21</v>
      </c>
      <c r="J14" s="352" t="s">
        <v>55</v>
      </c>
      <c r="K14" s="352" t="s">
        <v>54</v>
      </c>
      <c r="L14" s="353">
        <v>1193.25</v>
      </c>
      <c r="M14" s="353">
        <v>151.44999999999999</v>
      </c>
      <c r="N14" s="353">
        <v>2128.88</v>
      </c>
    </row>
    <row r="15" spans="1:16" x14ac:dyDescent="0.25">
      <c r="H15" s="352" t="s">
        <v>375</v>
      </c>
      <c r="I15" s="352" t="s">
        <v>21</v>
      </c>
      <c r="J15" s="352" t="s">
        <v>55</v>
      </c>
      <c r="K15" s="352" t="s">
        <v>66</v>
      </c>
      <c r="L15" s="353">
        <v>747.51</v>
      </c>
      <c r="M15" s="353">
        <v>0</v>
      </c>
      <c r="N15" s="353">
        <v>53.07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375</v>
      </c>
      <c r="I16" s="352" t="s">
        <v>21</v>
      </c>
      <c r="J16" s="352" t="s">
        <v>55</v>
      </c>
      <c r="K16" s="352" t="s">
        <v>67</v>
      </c>
      <c r="L16" s="353">
        <v>2139.17</v>
      </c>
      <c r="M16" s="353">
        <v>344.06</v>
      </c>
      <c r="N16" s="353">
        <v>13961.33</v>
      </c>
    </row>
    <row r="17" spans="1:16" x14ac:dyDescent="0.25">
      <c r="A17" s="336" t="s">
        <v>38</v>
      </c>
      <c r="B17" s="415">
        <f>SUM(D10:F10)</f>
        <v>922056.11</v>
      </c>
      <c r="D17" s="502" t="s">
        <v>81</v>
      </c>
      <c r="E17" s="502"/>
      <c r="F17" s="360">
        <f>O10/B21</f>
        <v>0.28864613459227983</v>
      </c>
      <c r="H17" s="352" t="s">
        <v>375</v>
      </c>
      <c r="I17" s="352" t="s">
        <v>21</v>
      </c>
      <c r="J17" s="352" t="s">
        <v>55</v>
      </c>
      <c r="K17" s="352" t="s">
        <v>68</v>
      </c>
      <c r="L17" s="353">
        <v>4381.18</v>
      </c>
      <c r="M17" s="353">
        <v>227.52</v>
      </c>
      <c r="N17" s="353">
        <v>19397.93</v>
      </c>
    </row>
    <row r="18" spans="1:16" x14ac:dyDescent="0.25">
      <c r="A18" s="336" t="s">
        <v>39</v>
      </c>
      <c r="B18" s="415">
        <f>SUM(D11:F11)</f>
        <v>136200.91</v>
      </c>
      <c r="D18" s="481" t="s">
        <v>253</v>
      </c>
      <c r="E18" s="481"/>
      <c r="F18" s="360">
        <f>O13/B21</f>
        <v>0.18323695815812782</v>
      </c>
      <c r="H18" s="352" t="s">
        <v>375</v>
      </c>
      <c r="I18" s="352" t="s">
        <v>21</v>
      </c>
      <c r="J18" s="352" t="s">
        <v>55</v>
      </c>
      <c r="K18" s="352" t="s">
        <v>72</v>
      </c>
      <c r="L18" s="353">
        <v>1808.69</v>
      </c>
      <c r="M18" s="353">
        <v>1114.18</v>
      </c>
      <c r="N18" s="353">
        <v>15868.91</v>
      </c>
    </row>
    <row r="19" spans="1:16" x14ac:dyDescent="0.25">
      <c r="A19" s="336" t="s">
        <v>2</v>
      </c>
      <c r="B19" s="415">
        <f>SUM(D9:F9)</f>
        <v>1073.67</v>
      </c>
      <c r="D19" s="336" t="s">
        <v>78</v>
      </c>
      <c r="F19" s="360">
        <f>O21/B21</f>
        <v>6.269847430852396E-2</v>
      </c>
      <c r="H19" s="352" t="s">
        <v>375</v>
      </c>
      <c r="I19" s="352" t="s">
        <v>21</v>
      </c>
      <c r="J19" s="352" t="s">
        <v>183</v>
      </c>
      <c r="K19" s="352" t="s">
        <v>360</v>
      </c>
      <c r="L19" s="353">
        <v>0</v>
      </c>
      <c r="M19" s="353">
        <v>0</v>
      </c>
      <c r="N19" s="353">
        <v>955.01</v>
      </c>
    </row>
    <row r="20" spans="1:16" x14ac:dyDescent="0.25">
      <c r="A20" s="336" t="s">
        <v>3</v>
      </c>
      <c r="B20" s="415">
        <f>SUM(D8:F8)</f>
        <v>6125.22</v>
      </c>
      <c r="D20" s="481" t="s">
        <v>42</v>
      </c>
      <c r="E20" s="481"/>
      <c r="F20" s="360">
        <f>O25/B21</f>
        <v>0.34562182868740199</v>
      </c>
      <c r="H20" s="352" t="s">
        <v>375</v>
      </c>
      <c r="I20" s="352" t="s">
        <v>21</v>
      </c>
      <c r="J20" s="352" t="s">
        <v>183</v>
      </c>
      <c r="K20" s="352" t="s">
        <v>363</v>
      </c>
      <c r="L20" s="353">
        <v>186.3</v>
      </c>
      <c r="M20" s="353">
        <v>306.5</v>
      </c>
      <c r="N20" s="353">
        <v>850.98</v>
      </c>
    </row>
    <row r="21" spans="1:16" ht="15.75" thickBot="1" x14ac:dyDescent="0.3">
      <c r="A21" s="361"/>
      <c r="B21" s="416">
        <f>SUM(B17:B20)</f>
        <v>1065455.9099999999</v>
      </c>
      <c r="F21" s="363">
        <f>SUM(F17:F20)</f>
        <v>0.88020339574633355</v>
      </c>
      <c r="H21" s="352" t="s">
        <v>375</v>
      </c>
      <c r="I21" s="352" t="s">
        <v>21</v>
      </c>
      <c r="J21" s="352" t="s">
        <v>183</v>
      </c>
      <c r="K21" s="352" t="s">
        <v>365</v>
      </c>
      <c r="L21" s="353">
        <v>186.89</v>
      </c>
      <c r="M21" s="353">
        <v>0</v>
      </c>
      <c r="N21" s="353">
        <v>799.65</v>
      </c>
      <c r="O21" s="364">
        <f>SUM(L14:N21)</f>
        <v>66802.460000000006</v>
      </c>
      <c r="P21" s="365" t="s">
        <v>378</v>
      </c>
    </row>
    <row r="22" spans="1:16" x14ac:dyDescent="0.25">
      <c r="E22" s="390" t="s">
        <v>356</v>
      </c>
      <c r="F22" s="417">
        <v>198</v>
      </c>
      <c r="H22" s="366" t="s">
        <v>375</v>
      </c>
      <c r="I22" s="366" t="s">
        <v>43</v>
      </c>
      <c r="J22" s="366" t="s">
        <v>21</v>
      </c>
      <c r="K22" s="366" t="s">
        <v>21</v>
      </c>
      <c r="L22" s="367">
        <v>35519.949999999997</v>
      </c>
      <c r="M22" s="367">
        <v>8997.19</v>
      </c>
      <c r="N22" s="367">
        <v>111407.54</v>
      </c>
    </row>
    <row r="23" spans="1:16" x14ac:dyDescent="0.25">
      <c r="E23" s="390"/>
      <c r="F23" s="417"/>
      <c r="H23" s="366" t="s">
        <v>375</v>
      </c>
      <c r="I23" s="366" t="s">
        <v>45</v>
      </c>
      <c r="J23" s="366" t="s">
        <v>21</v>
      </c>
      <c r="K23" s="366" t="s">
        <v>21</v>
      </c>
      <c r="L23" s="367">
        <v>22560.05</v>
      </c>
      <c r="M23" s="367">
        <v>7947.87</v>
      </c>
      <c r="N23" s="367">
        <v>112941.53</v>
      </c>
    </row>
    <row r="24" spans="1:16" x14ac:dyDescent="0.25">
      <c r="H24" s="366" t="s">
        <v>375</v>
      </c>
      <c r="I24" s="366" t="s">
        <v>46</v>
      </c>
      <c r="J24" s="366" t="s">
        <v>21</v>
      </c>
      <c r="K24" s="366" t="s">
        <v>21</v>
      </c>
      <c r="L24" s="367">
        <v>11524.85</v>
      </c>
      <c r="M24" s="367">
        <v>4292.8500000000004</v>
      </c>
      <c r="N24" s="367">
        <v>39392.370000000003</v>
      </c>
    </row>
    <row r="25" spans="1:16" x14ac:dyDescent="0.25">
      <c r="H25" s="366" t="s">
        <v>375</v>
      </c>
      <c r="I25" s="366" t="s">
        <v>50</v>
      </c>
      <c r="J25" s="366" t="s">
        <v>21</v>
      </c>
      <c r="K25" s="366" t="s">
        <v>21</v>
      </c>
      <c r="L25" s="367">
        <v>7503.89</v>
      </c>
      <c r="M25" s="367">
        <v>986.61</v>
      </c>
      <c r="N25" s="367">
        <v>5170.12</v>
      </c>
      <c r="O25" s="368">
        <f>SUM(L22:N25)</f>
        <v>368244.81999999995</v>
      </c>
      <c r="P25" s="369" t="s">
        <v>373</v>
      </c>
    </row>
    <row r="26" spans="1:16" x14ac:dyDescent="0.25">
      <c r="B26" s="414"/>
      <c r="H26" s="340" t="s">
        <v>375</v>
      </c>
      <c r="I26" s="340" t="s">
        <v>21</v>
      </c>
      <c r="J26" s="340" t="s">
        <v>21</v>
      </c>
      <c r="K26" s="340" t="s">
        <v>21</v>
      </c>
      <c r="L26" s="341">
        <v>39573.71</v>
      </c>
      <c r="M26" s="341">
        <v>11416.82</v>
      </c>
      <c r="N26" s="341">
        <v>34675.78</v>
      </c>
    </row>
    <row r="27" spans="1:16" x14ac:dyDescent="0.25">
      <c r="H27" s="340" t="s">
        <v>375</v>
      </c>
      <c r="I27" s="340" t="s">
        <v>43</v>
      </c>
      <c r="J27" s="340" t="s">
        <v>382</v>
      </c>
      <c r="K27" s="340" t="s">
        <v>384</v>
      </c>
      <c r="L27" s="341">
        <v>0</v>
      </c>
      <c r="M27" s="341">
        <v>0</v>
      </c>
      <c r="N27" s="341">
        <v>2893.27</v>
      </c>
    </row>
    <row r="28" spans="1:16" x14ac:dyDescent="0.25">
      <c r="H28" s="340" t="s">
        <v>375</v>
      </c>
      <c r="I28" s="340" t="s">
        <v>43</v>
      </c>
      <c r="J28" s="340" t="s">
        <v>55</v>
      </c>
      <c r="K28" s="340" t="s">
        <v>68</v>
      </c>
      <c r="L28" s="341">
        <v>271.63</v>
      </c>
      <c r="M28" s="341">
        <v>0</v>
      </c>
      <c r="N28" s="341">
        <v>0</v>
      </c>
    </row>
    <row r="29" spans="1:16" x14ac:dyDescent="0.25">
      <c r="H29" s="340" t="s">
        <v>375</v>
      </c>
      <c r="I29" s="340" t="s">
        <v>43</v>
      </c>
      <c r="J29" s="340" t="s">
        <v>55</v>
      </c>
      <c r="K29" s="340" t="s">
        <v>72</v>
      </c>
      <c r="L29" s="341">
        <v>0</v>
      </c>
      <c r="M29" s="341">
        <v>0</v>
      </c>
      <c r="N29" s="341">
        <v>1008.04</v>
      </c>
    </row>
    <row r="30" spans="1:16" x14ac:dyDescent="0.25">
      <c r="H30" s="340" t="s">
        <v>375</v>
      </c>
      <c r="I30" s="340" t="s">
        <v>43</v>
      </c>
      <c r="J30" s="340" t="s">
        <v>183</v>
      </c>
      <c r="K30" s="340" t="s">
        <v>360</v>
      </c>
      <c r="L30" s="341">
        <v>0</v>
      </c>
      <c r="M30" s="341">
        <v>0</v>
      </c>
      <c r="N30" s="341">
        <v>887.9</v>
      </c>
    </row>
    <row r="31" spans="1:16" x14ac:dyDescent="0.25">
      <c r="D31" s="345"/>
      <c r="E31" s="345"/>
      <c r="F31" s="345"/>
      <c r="H31" s="340" t="s">
        <v>375</v>
      </c>
      <c r="I31" s="340" t="s">
        <v>45</v>
      </c>
      <c r="J31" s="340" t="s">
        <v>52</v>
      </c>
      <c r="K31" s="340" t="s">
        <v>178</v>
      </c>
      <c r="L31" s="341">
        <v>230.73</v>
      </c>
      <c r="M31" s="341">
        <v>0</v>
      </c>
      <c r="N31" s="341">
        <v>2243.23</v>
      </c>
    </row>
    <row r="32" spans="1:16" x14ac:dyDescent="0.25">
      <c r="D32" s="345"/>
      <c r="E32" s="345"/>
      <c r="F32" s="345"/>
      <c r="H32" s="340" t="s">
        <v>375</v>
      </c>
      <c r="I32" s="340" t="s">
        <v>45</v>
      </c>
      <c r="J32" s="340" t="s">
        <v>382</v>
      </c>
      <c r="K32" s="340" t="s">
        <v>384</v>
      </c>
      <c r="L32" s="341">
        <v>0</v>
      </c>
      <c r="M32" s="341">
        <v>0</v>
      </c>
      <c r="N32" s="341">
        <v>2234.54</v>
      </c>
    </row>
    <row r="33" spans="8:14" x14ac:dyDescent="0.25">
      <c r="H33" s="340" t="s">
        <v>375</v>
      </c>
      <c r="I33" s="340" t="s">
        <v>45</v>
      </c>
      <c r="J33" s="340" t="s">
        <v>382</v>
      </c>
      <c r="K33" s="340" t="s">
        <v>240</v>
      </c>
      <c r="L33" s="341">
        <v>0</v>
      </c>
      <c r="M33" s="341">
        <v>0</v>
      </c>
      <c r="N33" s="341">
        <v>13894.93</v>
      </c>
    </row>
    <row r="34" spans="8:14" x14ac:dyDescent="0.25">
      <c r="H34" s="340" t="s">
        <v>375</v>
      </c>
      <c r="I34" s="340" t="s">
        <v>45</v>
      </c>
      <c r="J34" s="340" t="s">
        <v>183</v>
      </c>
      <c r="K34" s="340" t="s">
        <v>360</v>
      </c>
      <c r="L34" s="341">
        <v>467.39</v>
      </c>
      <c r="M34" s="341">
        <v>0</v>
      </c>
      <c r="N34" s="341">
        <v>1098.49</v>
      </c>
    </row>
    <row r="35" spans="8:14" x14ac:dyDescent="0.25">
      <c r="H35" s="340" t="s">
        <v>375</v>
      </c>
      <c r="I35" s="340" t="s">
        <v>45</v>
      </c>
      <c r="J35" s="340" t="s">
        <v>183</v>
      </c>
      <c r="K35" s="340" t="s">
        <v>362</v>
      </c>
      <c r="L35" s="341">
        <v>229.48</v>
      </c>
      <c r="M35" s="341">
        <v>0</v>
      </c>
      <c r="N35" s="341">
        <v>876.08</v>
      </c>
    </row>
    <row r="36" spans="8:14" x14ac:dyDescent="0.25">
      <c r="H36" s="340" t="s">
        <v>375</v>
      </c>
      <c r="I36" s="340" t="s">
        <v>45</v>
      </c>
      <c r="J36" s="340" t="s">
        <v>183</v>
      </c>
      <c r="K36" s="340" t="s">
        <v>363</v>
      </c>
      <c r="L36" s="341">
        <v>622.21</v>
      </c>
      <c r="M36" s="341">
        <v>0</v>
      </c>
      <c r="N36" s="341">
        <v>1261.67</v>
      </c>
    </row>
    <row r="37" spans="8:14" x14ac:dyDescent="0.25">
      <c r="H37" s="340" t="s">
        <v>375</v>
      </c>
      <c r="I37" s="340" t="s">
        <v>45</v>
      </c>
      <c r="J37" s="340" t="s">
        <v>183</v>
      </c>
      <c r="K37" s="340" t="s">
        <v>364</v>
      </c>
      <c r="L37" s="341">
        <v>105.29</v>
      </c>
      <c r="M37" s="341">
        <v>193.44</v>
      </c>
      <c r="N37" s="341">
        <v>2431.37</v>
      </c>
    </row>
    <row r="38" spans="8:14" x14ac:dyDescent="0.25">
      <c r="H38" s="340" t="s">
        <v>375</v>
      </c>
      <c r="I38" s="340" t="s">
        <v>45</v>
      </c>
      <c r="J38" s="340" t="s">
        <v>183</v>
      </c>
      <c r="K38" s="340" t="s">
        <v>365</v>
      </c>
      <c r="L38" s="341">
        <v>855.7</v>
      </c>
      <c r="M38" s="341">
        <v>0</v>
      </c>
      <c r="N38" s="341">
        <v>1900.65</v>
      </c>
    </row>
    <row r="39" spans="8:14" x14ac:dyDescent="0.25">
      <c r="H39" s="340" t="s">
        <v>375</v>
      </c>
      <c r="I39" s="340" t="s">
        <v>46</v>
      </c>
      <c r="J39" s="340" t="s">
        <v>52</v>
      </c>
      <c r="K39" s="340" t="s">
        <v>178</v>
      </c>
      <c r="L39" s="341">
        <v>438</v>
      </c>
      <c r="M39" s="341">
        <v>10.29</v>
      </c>
      <c r="N39" s="341">
        <v>3746.79</v>
      </c>
    </row>
    <row r="40" spans="8:14" x14ac:dyDescent="0.25">
      <c r="H40" s="340" t="s">
        <v>375</v>
      </c>
      <c r="I40" s="340" t="s">
        <v>46</v>
      </c>
      <c r="J40" s="340" t="s">
        <v>52</v>
      </c>
      <c r="K40" s="340" t="s">
        <v>210</v>
      </c>
      <c r="L40" s="341">
        <v>0</v>
      </c>
      <c r="M40" s="341">
        <v>0</v>
      </c>
      <c r="N40" s="341">
        <v>825.39</v>
      </c>
    </row>
    <row r="41" spans="8:14" x14ac:dyDescent="0.25">
      <c r="H41" s="340" t="s">
        <v>375</v>
      </c>
      <c r="I41" s="340" t="s">
        <v>46</v>
      </c>
      <c r="J41" s="340" t="s">
        <v>183</v>
      </c>
      <c r="K41" s="340" t="s">
        <v>365</v>
      </c>
      <c r="L41" s="341">
        <v>0</v>
      </c>
      <c r="M41" s="341">
        <v>414.98</v>
      </c>
      <c r="N41" s="341">
        <v>1955.5</v>
      </c>
    </row>
    <row r="42" spans="8:14" x14ac:dyDescent="0.25">
      <c r="H42" s="340" t="s">
        <v>375</v>
      </c>
      <c r="I42" s="340" t="s">
        <v>50</v>
      </c>
      <c r="J42" s="340" t="s">
        <v>52</v>
      </c>
      <c r="K42" s="340" t="s">
        <v>178</v>
      </c>
      <c r="L42" s="341">
        <v>186.3</v>
      </c>
      <c r="M42" s="341">
        <v>0</v>
      </c>
      <c r="N42" s="341">
        <v>257.5</v>
      </c>
    </row>
    <row r="43" spans="8:14" x14ac:dyDescent="0.25">
      <c r="H43" s="340" t="s">
        <v>375</v>
      </c>
      <c r="I43" s="340" t="s">
        <v>50</v>
      </c>
      <c r="J43" s="340" t="s">
        <v>52</v>
      </c>
      <c r="K43" s="340" t="s">
        <v>72</v>
      </c>
      <c r="L43" s="341">
        <v>0</v>
      </c>
      <c r="M43" s="341">
        <v>20.09</v>
      </c>
      <c r="N43" s="341">
        <v>123.35</v>
      </c>
    </row>
    <row r="44" spans="8:14" x14ac:dyDescent="0.25">
      <c r="H44" s="340" t="s">
        <v>375</v>
      </c>
      <c r="I44" s="340" t="s">
        <v>50</v>
      </c>
      <c r="J44" s="340" t="s">
        <v>55</v>
      </c>
      <c r="K44" s="340" t="s">
        <v>72</v>
      </c>
      <c r="L44" s="341">
        <v>287.45999999999998</v>
      </c>
      <c r="M44" s="341">
        <v>0</v>
      </c>
      <c r="N44" s="341">
        <v>0</v>
      </c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P41"/>
  <sheetViews>
    <sheetView zoomScaleNormal="10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375</v>
      </c>
      <c r="B8" s="340" t="s">
        <v>38</v>
      </c>
      <c r="C8" s="340" t="s">
        <v>3</v>
      </c>
      <c r="D8" s="342">
        <v>236.67</v>
      </c>
      <c r="E8" s="342">
        <v>0</v>
      </c>
      <c r="F8" s="342">
        <v>5998.64</v>
      </c>
      <c r="H8" s="343" t="s">
        <v>375</v>
      </c>
      <c r="I8" s="343" t="s">
        <v>21</v>
      </c>
      <c r="J8" s="343" t="s">
        <v>52</v>
      </c>
      <c r="K8" s="343" t="s">
        <v>178</v>
      </c>
      <c r="L8" s="344">
        <v>4482.1899999999996</v>
      </c>
      <c r="M8" s="344">
        <v>5149.82</v>
      </c>
      <c r="N8" s="344">
        <v>104471.53</v>
      </c>
    </row>
    <row r="9" spans="1:16" x14ac:dyDescent="0.25">
      <c r="A9" s="340" t="s">
        <v>375</v>
      </c>
      <c r="B9" s="340" t="s">
        <v>38</v>
      </c>
      <c r="C9" s="340" t="s">
        <v>323</v>
      </c>
      <c r="D9" s="342">
        <v>0.84</v>
      </c>
      <c r="E9" s="342">
        <v>26.1</v>
      </c>
      <c r="F9" s="342">
        <v>78.13</v>
      </c>
      <c r="H9" s="343" t="s">
        <v>375</v>
      </c>
      <c r="I9" s="343" t="s">
        <v>21</v>
      </c>
      <c r="J9" s="343" t="s">
        <v>52</v>
      </c>
      <c r="K9" s="343" t="s">
        <v>381</v>
      </c>
      <c r="L9" s="344">
        <v>0</v>
      </c>
      <c r="M9" s="344">
        <v>256.48</v>
      </c>
      <c r="N9" s="344">
        <v>4264.54</v>
      </c>
    </row>
    <row r="10" spans="1:16" x14ac:dyDescent="0.25">
      <c r="A10" s="340" t="s">
        <v>375</v>
      </c>
      <c r="B10" s="340" t="s">
        <v>38</v>
      </c>
      <c r="C10" s="340" t="s">
        <v>41</v>
      </c>
      <c r="D10" s="342">
        <v>57726.52</v>
      </c>
      <c r="E10" s="342">
        <v>95847.75</v>
      </c>
      <c r="F10" s="342">
        <v>728335.97</v>
      </c>
      <c r="H10" s="343" t="s">
        <v>375</v>
      </c>
      <c r="I10" s="343" t="s">
        <v>21</v>
      </c>
      <c r="J10" s="343" t="s">
        <v>52</v>
      </c>
      <c r="K10" s="343" t="s">
        <v>210</v>
      </c>
      <c r="L10" s="344">
        <v>2608.35</v>
      </c>
      <c r="M10" s="344">
        <v>7086.73</v>
      </c>
      <c r="N10" s="344">
        <v>95205.61</v>
      </c>
    </row>
    <row r="11" spans="1:16" x14ac:dyDescent="0.25">
      <c r="A11" s="340" t="s">
        <v>375</v>
      </c>
      <c r="B11" s="340" t="s">
        <v>39</v>
      </c>
      <c r="C11" s="340" t="s">
        <v>41</v>
      </c>
      <c r="D11" s="342">
        <v>9813.73</v>
      </c>
      <c r="E11" s="342">
        <v>16192.38</v>
      </c>
      <c r="F11" s="342">
        <v>97580.85</v>
      </c>
      <c r="H11" s="343" t="s">
        <v>375</v>
      </c>
      <c r="I11" s="343" t="s">
        <v>21</v>
      </c>
      <c r="J11" s="343" t="s">
        <v>52</v>
      </c>
      <c r="K11" s="343" t="s">
        <v>72</v>
      </c>
      <c r="L11" s="344">
        <v>8056.77</v>
      </c>
      <c r="M11" s="344">
        <v>16059.94</v>
      </c>
      <c r="N11" s="344">
        <v>4021.67</v>
      </c>
      <c r="O11" s="346">
        <f>SUM(L8:N11)</f>
        <v>251663.63</v>
      </c>
      <c r="P11" s="347" t="s">
        <v>52</v>
      </c>
    </row>
    <row r="12" spans="1:16" x14ac:dyDescent="0.25">
      <c r="H12" s="348" t="s">
        <v>375</v>
      </c>
      <c r="I12" s="348" t="s">
        <v>21</v>
      </c>
      <c r="J12" s="348" t="s">
        <v>382</v>
      </c>
      <c r="K12" s="348" t="s">
        <v>383</v>
      </c>
      <c r="L12" s="349">
        <v>1176.26</v>
      </c>
      <c r="M12" s="349">
        <v>10724.2</v>
      </c>
      <c r="N12" s="349">
        <v>100016.98</v>
      </c>
    </row>
    <row r="13" spans="1:16" x14ac:dyDescent="0.25">
      <c r="H13" s="348" t="s">
        <v>375</v>
      </c>
      <c r="I13" s="348" t="s">
        <v>21</v>
      </c>
      <c r="J13" s="348" t="s">
        <v>382</v>
      </c>
      <c r="K13" s="348" t="s">
        <v>384</v>
      </c>
      <c r="L13" s="349">
        <v>1926.83</v>
      </c>
      <c r="M13" s="349">
        <v>2660.36</v>
      </c>
      <c r="N13" s="349">
        <v>64995.49</v>
      </c>
    </row>
    <row r="14" spans="1:16" x14ac:dyDescent="0.25">
      <c r="H14" s="348" t="s">
        <v>375</v>
      </c>
      <c r="I14" s="348" t="s">
        <v>21</v>
      </c>
      <c r="J14" s="348" t="s">
        <v>382</v>
      </c>
      <c r="K14" s="348" t="s">
        <v>240</v>
      </c>
      <c r="L14" s="349">
        <v>150.19999999999999</v>
      </c>
      <c r="M14" s="349">
        <v>264.62</v>
      </c>
      <c r="N14" s="349">
        <v>9302.16</v>
      </c>
      <c r="O14" s="350">
        <f>SUM(L12:N14)</f>
        <v>191217.1</v>
      </c>
      <c r="P14" s="351" t="s">
        <v>254</v>
      </c>
    </row>
    <row r="15" spans="1:16" x14ac:dyDescent="0.25">
      <c r="H15" s="352" t="s">
        <v>375</v>
      </c>
      <c r="I15" s="352" t="s">
        <v>21</v>
      </c>
      <c r="J15" s="352" t="s">
        <v>55</v>
      </c>
      <c r="K15" s="352" t="s">
        <v>54</v>
      </c>
      <c r="L15" s="353">
        <v>0</v>
      </c>
      <c r="M15" s="353">
        <v>0</v>
      </c>
      <c r="N15" s="353">
        <v>92.32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375</v>
      </c>
      <c r="I16" s="352" t="s">
        <v>21</v>
      </c>
      <c r="J16" s="352" t="s">
        <v>55</v>
      </c>
      <c r="K16" s="352" t="s">
        <v>66</v>
      </c>
      <c r="L16" s="353">
        <v>377.89</v>
      </c>
      <c r="M16" s="353">
        <v>0</v>
      </c>
      <c r="N16" s="353">
        <v>462.77</v>
      </c>
    </row>
    <row r="17" spans="1:16" x14ac:dyDescent="0.25">
      <c r="A17" s="336" t="s">
        <v>38</v>
      </c>
      <c r="B17" s="415">
        <f>SUM(D10:F10)</f>
        <v>881910.24</v>
      </c>
      <c r="D17" s="502" t="s">
        <v>81</v>
      </c>
      <c r="E17" s="502"/>
      <c r="F17" s="360">
        <f>O11/B21</f>
        <v>0.24871939427274486</v>
      </c>
      <c r="H17" s="352" t="s">
        <v>375</v>
      </c>
      <c r="I17" s="352" t="s">
        <v>21</v>
      </c>
      <c r="J17" s="352" t="s">
        <v>55</v>
      </c>
      <c r="K17" s="352" t="s">
        <v>67</v>
      </c>
      <c r="L17" s="353">
        <v>625.07000000000005</v>
      </c>
      <c r="M17" s="353">
        <v>304.13</v>
      </c>
      <c r="N17" s="353">
        <v>20993.91</v>
      </c>
    </row>
    <row r="18" spans="1:16" x14ac:dyDescent="0.25">
      <c r="A18" s="336" t="s">
        <v>39</v>
      </c>
      <c r="B18" s="415">
        <f>SUM(D11:F11)</f>
        <v>123586.96</v>
      </c>
      <c r="D18" s="481" t="s">
        <v>253</v>
      </c>
      <c r="E18" s="481"/>
      <c r="F18" s="360">
        <f>O14/B21</f>
        <v>0.18898003373229133</v>
      </c>
      <c r="H18" s="352" t="s">
        <v>375</v>
      </c>
      <c r="I18" s="352" t="s">
        <v>21</v>
      </c>
      <c r="J18" s="352" t="s">
        <v>55</v>
      </c>
      <c r="K18" s="352" t="s">
        <v>68</v>
      </c>
      <c r="L18" s="353">
        <v>483.93</v>
      </c>
      <c r="M18" s="353">
        <v>0</v>
      </c>
      <c r="N18" s="353">
        <v>3865.32</v>
      </c>
    </row>
    <row r="19" spans="1:16" x14ac:dyDescent="0.25">
      <c r="A19" s="336" t="s">
        <v>2</v>
      </c>
      <c r="B19" s="415">
        <f>SUM(D9:F9)</f>
        <v>105.07</v>
      </c>
      <c r="D19" s="336" t="s">
        <v>78</v>
      </c>
      <c r="F19" s="360">
        <f>O23/B21</f>
        <v>5.0787479152533552E-2</v>
      </c>
      <c r="H19" s="352" t="s">
        <v>375</v>
      </c>
      <c r="I19" s="352" t="s">
        <v>21</v>
      </c>
      <c r="J19" s="352" t="s">
        <v>55</v>
      </c>
      <c r="K19" s="352" t="s">
        <v>72</v>
      </c>
      <c r="L19" s="353">
        <v>1065.27</v>
      </c>
      <c r="M19" s="353">
        <v>2707.88</v>
      </c>
      <c r="N19" s="353">
        <v>14369.48</v>
      </c>
    </row>
    <row r="20" spans="1:16" x14ac:dyDescent="0.25">
      <c r="A20" s="336" t="s">
        <v>3</v>
      </c>
      <c r="B20" s="415">
        <f>SUM(D8:F8)</f>
        <v>6235.31</v>
      </c>
      <c r="D20" s="481" t="s">
        <v>42</v>
      </c>
      <c r="E20" s="481"/>
      <c r="F20" s="360">
        <f>O27/B21</f>
        <v>0.38582392838186536</v>
      </c>
      <c r="H20" s="352" t="s">
        <v>375</v>
      </c>
      <c r="I20" s="352" t="s">
        <v>21</v>
      </c>
      <c r="J20" s="352" t="s">
        <v>183</v>
      </c>
      <c r="K20" s="352" t="s">
        <v>360</v>
      </c>
      <c r="L20" s="353">
        <v>84.37</v>
      </c>
      <c r="M20" s="353">
        <v>257.95</v>
      </c>
      <c r="N20" s="353">
        <v>3506.88</v>
      </c>
    </row>
    <row r="21" spans="1:16" ht="15.75" thickBot="1" x14ac:dyDescent="0.3">
      <c r="A21" s="361"/>
      <c r="B21" s="416">
        <f>SUM(B17:B20)</f>
        <v>1011837.58</v>
      </c>
      <c r="F21" s="363">
        <f>SUM(F17:F20)</f>
        <v>0.87431083553943512</v>
      </c>
      <c r="H21" s="352" t="s">
        <v>375</v>
      </c>
      <c r="I21" s="352" t="s">
        <v>21</v>
      </c>
      <c r="J21" s="352" t="s">
        <v>183</v>
      </c>
      <c r="K21" s="352" t="s">
        <v>363</v>
      </c>
      <c r="L21" s="353">
        <v>53.54</v>
      </c>
      <c r="M21" s="353">
        <v>0</v>
      </c>
      <c r="N21" s="353">
        <v>700.12</v>
      </c>
    </row>
    <row r="22" spans="1:16" x14ac:dyDescent="0.25">
      <c r="E22" s="390" t="s">
        <v>356</v>
      </c>
      <c r="F22" s="417">
        <v>204</v>
      </c>
      <c r="H22" s="352" t="s">
        <v>375</v>
      </c>
      <c r="I22" s="352" t="s">
        <v>21</v>
      </c>
      <c r="J22" s="352" t="s">
        <v>183</v>
      </c>
      <c r="K22" s="352" t="s">
        <v>364</v>
      </c>
      <c r="L22" s="353">
        <v>186.89</v>
      </c>
      <c r="M22" s="353">
        <v>0</v>
      </c>
      <c r="N22" s="353">
        <v>849.65</v>
      </c>
    </row>
    <row r="23" spans="1:16" x14ac:dyDescent="0.25">
      <c r="E23" s="390"/>
      <c r="F23" s="417"/>
      <c r="H23" s="352" t="s">
        <v>375</v>
      </c>
      <c r="I23" s="352" t="s">
        <v>21</v>
      </c>
      <c r="J23" s="352" t="s">
        <v>183</v>
      </c>
      <c r="K23" s="352" t="s">
        <v>72</v>
      </c>
      <c r="L23" s="353">
        <v>0</v>
      </c>
      <c r="M23" s="353">
        <v>0</v>
      </c>
      <c r="N23" s="353">
        <v>401.31</v>
      </c>
      <c r="O23" s="364">
        <f>SUM(L15:N23)</f>
        <v>51388.68</v>
      </c>
      <c r="P23" s="365" t="s">
        <v>110</v>
      </c>
    </row>
    <row r="24" spans="1:16" x14ac:dyDescent="0.25">
      <c r="H24" s="366" t="s">
        <v>375</v>
      </c>
      <c r="I24" s="366" t="s">
        <v>43</v>
      </c>
      <c r="J24" s="366" t="s">
        <v>21</v>
      </c>
      <c r="K24" s="366" t="s">
        <v>21</v>
      </c>
      <c r="L24" s="367">
        <v>11345.62</v>
      </c>
      <c r="M24" s="367">
        <v>17843.45</v>
      </c>
      <c r="N24" s="367">
        <v>159990.78</v>
      </c>
    </row>
    <row r="25" spans="1:16" x14ac:dyDescent="0.25">
      <c r="H25" s="366" t="s">
        <v>375</v>
      </c>
      <c r="I25" s="366" t="s">
        <v>45</v>
      </c>
      <c r="J25" s="366" t="s">
        <v>21</v>
      </c>
      <c r="K25" s="366" t="s">
        <v>21</v>
      </c>
      <c r="L25" s="367">
        <v>9953.9500000000007</v>
      </c>
      <c r="M25" s="367">
        <v>19913.43</v>
      </c>
      <c r="N25" s="367">
        <v>109330.55</v>
      </c>
    </row>
    <row r="26" spans="1:16" x14ac:dyDescent="0.25">
      <c r="B26" s="414"/>
      <c r="H26" s="366" t="s">
        <v>375</v>
      </c>
      <c r="I26" s="366" t="s">
        <v>46</v>
      </c>
      <c r="J26" s="366" t="s">
        <v>21</v>
      </c>
      <c r="K26" s="366" t="s">
        <v>21</v>
      </c>
      <c r="L26" s="367">
        <v>5437.24</v>
      </c>
      <c r="M26" s="367">
        <v>6582.94</v>
      </c>
      <c r="N26" s="367">
        <v>40042.29</v>
      </c>
    </row>
    <row r="27" spans="1:16" x14ac:dyDescent="0.25">
      <c r="H27" s="366" t="s">
        <v>375</v>
      </c>
      <c r="I27" s="366" t="s">
        <v>50</v>
      </c>
      <c r="J27" s="366" t="s">
        <v>21</v>
      </c>
      <c r="K27" s="366" t="s">
        <v>21</v>
      </c>
      <c r="L27" s="367">
        <v>2580.36</v>
      </c>
      <c r="M27" s="367">
        <v>1038.19</v>
      </c>
      <c r="N27" s="367">
        <v>6332.35</v>
      </c>
      <c r="O27" s="368">
        <f>SUM(L24:N27)</f>
        <v>390391.14999999997</v>
      </c>
      <c r="P27" s="369" t="s">
        <v>369</v>
      </c>
    </row>
    <row r="28" spans="1:16" x14ac:dyDescent="0.25">
      <c r="H28" s="340" t="s">
        <v>375</v>
      </c>
      <c r="I28" s="340" t="s">
        <v>21</v>
      </c>
      <c r="J28" s="340" t="s">
        <v>21</v>
      </c>
      <c r="K28" s="340" t="s">
        <v>21</v>
      </c>
      <c r="L28" s="341">
        <v>16553.89</v>
      </c>
      <c r="M28" s="341">
        <v>16506.07</v>
      </c>
      <c r="N28" s="341">
        <v>52584.21</v>
      </c>
    </row>
    <row r="29" spans="1:16" x14ac:dyDescent="0.25">
      <c r="H29" s="340" t="s">
        <v>375</v>
      </c>
      <c r="I29" s="340" t="s">
        <v>43</v>
      </c>
      <c r="J29" s="340" t="s">
        <v>382</v>
      </c>
      <c r="K29" s="340" t="s">
        <v>384</v>
      </c>
      <c r="L29" s="341">
        <v>0</v>
      </c>
      <c r="M29" s="341">
        <v>509.44</v>
      </c>
      <c r="N29" s="341">
        <v>2601.0700000000002</v>
      </c>
    </row>
    <row r="30" spans="1:16" x14ac:dyDescent="0.25">
      <c r="H30" s="340" t="s">
        <v>375</v>
      </c>
      <c r="I30" s="340" t="s">
        <v>45</v>
      </c>
      <c r="J30" s="340" t="s">
        <v>52</v>
      </c>
      <c r="K30" s="340" t="s">
        <v>178</v>
      </c>
      <c r="L30" s="341">
        <v>0</v>
      </c>
      <c r="M30" s="341">
        <v>0</v>
      </c>
      <c r="N30" s="341">
        <v>2279.46</v>
      </c>
    </row>
    <row r="31" spans="1:16" x14ac:dyDescent="0.25">
      <c r="D31" s="345"/>
      <c r="E31" s="345"/>
      <c r="F31" s="345"/>
      <c r="H31" s="340" t="s">
        <v>375</v>
      </c>
      <c r="I31" s="340" t="s">
        <v>45</v>
      </c>
      <c r="J31" s="340" t="s">
        <v>382</v>
      </c>
      <c r="K31" s="340" t="s">
        <v>383</v>
      </c>
      <c r="L31" s="341">
        <v>203.87</v>
      </c>
      <c r="M31" s="341">
        <v>0</v>
      </c>
      <c r="N31" s="341">
        <v>434.53</v>
      </c>
    </row>
    <row r="32" spans="1:16" x14ac:dyDescent="0.25">
      <c r="D32" s="345"/>
      <c r="E32" s="345"/>
      <c r="F32" s="345"/>
      <c r="H32" s="340" t="s">
        <v>375</v>
      </c>
      <c r="I32" s="340" t="s">
        <v>45</v>
      </c>
      <c r="J32" s="340" t="s">
        <v>382</v>
      </c>
      <c r="K32" s="340" t="s">
        <v>240</v>
      </c>
      <c r="L32" s="341">
        <v>0</v>
      </c>
      <c r="M32" s="341">
        <v>264.91000000000003</v>
      </c>
      <c r="N32" s="341">
        <v>13608.26</v>
      </c>
    </row>
    <row r="33" spans="8:14" x14ac:dyDescent="0.25">
      <c r="H33" s="340" t="s">
        <v>375</v>
      </c>
      <c r="I33" s="340" t="s">
        <v>45</v>
      </c>
      <c r="J33" s="340" t="s">
        <v>55</v>
      </c>
      <c r="K33" s="340" t="s">
        <v>72</v>
      </c>
      <c r="L33" s="341">
        <v>0</v>
      </c>
      <c r="M33" s="341">
        <v>2269.9899999999998</v>
      </c>
      <c r="N33" s="341">
        <v>1873.96</v>
      </c>
    </row>
    <row r="34" spans="8:14" x14ac:dyDescent="0.25">
      <c r="H34" s="340" t="s">
        <v>375</v>
      </c>
      <c r="I34" s="340" t="s">
        <v>45</v>
      </c>
      <c r="J34" s="340" t="s">
        <v>183</v>
      </c>
      <c r="K34" s="340" t="s">
        <v>360</v>
      </c>
      <c r="L34" s="341">
        <v>0</v>
      </c>
      <c r="M34" s="341">
        <v>0</v>
      </c>
      <c r="N34" s="341">
        <v>73.72</v>
      </c>
    </row>
    <row r="35" spans="8:14" x14ac:dyDescent="0.25">
      <c r="H35" s="340" t="s">
        <v>375</v>
      </c>
      <c r="I35" s="340" t="s">
        <v>45</v>
      </c>
      <c r="J35" s="340" t="s">
        <v>183</v>
      </c>
      <c r="K35" s="340" t="s">
        <v>364</v>
      </c>
      <c r="L35" s="341">
        <v>0</v>
      </c>
      <c r="M35" s="341">
        <v>866.19</v>
      </c>
      <c r="N35" s="341">
        <v>4431.1000000000004</v>
      </c>
    </row>
    <row r="36" spans="8:14" x14ac:dyDescent="0.25">
      <c r="H36" s="340" t="s">
        <v>375</v>
      </c>
      <c r="I36" s="340" t="s">
        <v>45</v>
      </c>
      <c r="J36" s="340" t="s">
        <v>183</v>
      </c>
      <c r="K36" s="340" t="s">
        <v>365</v>
      </c>
      <c r="L36" s="341">
        <v>0</v>
      </c>
      <c r="M36" s="341">
        <v>0</v>
      </c>
      <c r="N36" s="341">
        <v>2678.7</v>
      </c>
    </row>
    <row r="37" spans="8:14" x14ac:dyDescent="0.25">
      <c r="H37" s="340" t="s">
        <v>375</v>
      </c>
      <c r="I37" s="340" t="s">
        <v>46</v>
      </c>
      <c r="J37" s="340" t="s">
        <v>52</v>
      </c>
      <c r="K37" s="340" t="s">
        <v>178</v>
      </c>
      <c r="L37" s="341">
        <v>10.29</v>
      </c>
      <c r="M37" s="341">
        <v>565.71</v>
      </c>
      <c r="N37" s="341">
        <v>5357.42</v>
      </c>
    </row>
    <row r="38" spans="8:14" x14ac:dyDescent="0.25">
      <c r="H38" s="340" t="s">
        <v>375</v>
      </c>
      <c r="I38" s="340" t="s">
        <v>46</v>
      </c>
      <c r="J38" s="340" t="s">
        <v>52</v>
      </c>
      <c r="K38" s="340" t="s">
        <v>210</v>
      </c>
      <c r="L38" s="341">
        <v>0</v>
      </c>
      <c r="M38" s="341">
        <v>233.8</v>
      </c>
      <c r="N38" s="341">
        <v>827.33</v>
      </c>
    </row>
    <row r="39" spans="8:14" x14ac:dyDescent="0.25">
      <c r="H39" s="340" t="s">
        <v>375</v>
      </c>
      <c r="I39" s="340" t="s">
        <v>46</v>
      </c>
      <c r="J39" s="340" t="s">
        <v>183</v>
      </c>
      <c r="K39" s="340" t="s">
        <v>364</v>
      </c>
      <c r="L39" s="341">
        <v>414.98</v>
      </c>
      <c r="M39" s="341">
        <v>0</v>
      </c>
      <c r="N39" s="341">
        <v>1985.5</v>
      </c>
    </row>
    <row r="40" spans="8:14" x14ac:dyDescent="0.25">
      <c r="H40" s="340" t="s">
        <v>375</v>
      </c>
      <c r="I40" s="340" t="s">
        <v>50</v>
      </c>
      <c r="J40" s="340" t="s">
        <v>55</v>
      </c>
      <c r="K40" s="340" t="s">
        <v>68</v>
      </c>
      <c r="L40" s="341">
        <v>0</v>
      </c>
      <c r="M40" s="341">
        <v>0</v>
      </c>
      <c r="N40" s="341">
        <v>41.31</v>
      </c>
    </row>
    <row r="41" spans="8:14" x14ac:dyDescent="0.25">
      <c r="H41" s="340" t="s">
        <v>375</v>
      </c>
      <c r="I41" s="340" t="s">
        <v>50</v>
      </c>
      <c r="J41" s="340" t="s">
        <v>55</v>
      </c>
      <c r="K41" s="340" t="s">
        <v>72</v>
      </c>
      <c r="L41" s="341">
        <v>0</v>
      </c>
      <c r="M41" s="341">
        <v>0</v>
      </c>
      <c r="N41" s="341">
        <v>1.31</v>
      </c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P38"/>
  <sheetViews>
    <sheetView zoomScaleNormal="10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375</v>
      </c>
      <c r="B8" s="340" t="s">
        <v>38</v>
      </c>
      <c r="C8" s="340" t="s">
        <v>3</v>
      </c>
      <c r="D8" s="342">
        <v>0</v>
      </c>
      <c r="E8" s="342">
        <v>0</v>
      </c>
      <c r="F8" s="342">
        <v>6066.7</v>
      </c>
      <c r="H8" s="343" t="s">
        <v>375</v>
      </c>
      <c r="I8" s="343" t="s">
        <v>21</v>
      </c>
      <c r="J8" s="343" t="s">
        <v>52</v>
      </c>
      <c r="K8" s="343" t="s">
        <v>178</v>
      </c>
      <c r="L8" s="344">
        <v>7617</v>
      </c>
      <c r="M8" s="344">
        <v>17240.509999999998</v>
      </c>
      <c r="N8" s="344">
        <v>79492.3</v>
      </c>
    </row>
    <row r="9" spans="1:16" x14ac:dyDescent="0.25">
      <c r="A9" s="340" t="s">
        <v>375</v>
      </c>
      <c r="B9" s="340" t="s">
        <v>38</v>
      </c>
      <c r="C9" s="340" t="s">
        <v>323</v>
      </c>
      <c r="D9" s="342">
        <v>648.92999999999995</v>
      </c>
      <c r="E9" s="342">
        <v>71.48</v>
      </c>
      <c r="F9" s="342">
        <v>70.58</v>
      </c>
      <c r="H9" s="343" t="s">
        <v>375</v>
      </c>
      <c r="I9" s="343" t="s">
        <v>21</v>
      </c>
      <c r="J9" s="343" t="s">
        <v>52</v>
      </c>
      <c r="K9" s="343" t="s">
        <v>210</v>
      </c>
      <c r="L9" s="344">
        <v>4124.45</v>
      </c>
      <c r="M9" s="344">
        <v>3882.78</v>
      </c>
      <c r="N9" s="344">
        <v>95722.559999999998</v>
      </c>
    </row>
    <row r="10" spans="1:16" x14ac:dyDescent="0.25">
      <c r="A10" s="340" t="s">
        <v>375</v>
      </c>
      <c r="B10" s="340" t="s">
        <v>38</v>
      </c>
      <c r="C10" s="340" t="s">
        <v>41</v>
      </c>
      <c r="D10" s="342">
        <v>109963.77</v>
      </c>
      <c r="E10" s="342">
        <v>136552.48000000001</v>
      </c>
      <c r="F10" s="342">
        <v>669284.31999999995</v>
      </c>
      <c r="H10" s="343" t="s">
        <v>375</v>
      </c>
      <c r="I10" s="343" t="s">
        <v>21</v>
      </c>
      <c r="J10" s="343" t="s">
        <v>52</v>
      </c>
      <c r="K10" s="343" t="s">
        <v>72</v>
      </c>
      <c r="L10" s="344">
        <v>17369.97</v>
      </c>
      <c r="M10" s="344">
        <v>8677.98</v>
      </c>
      <c r="N10" s="344">
        <v>7200.4</v>
      </c>
      <c r="O10" s="346">
        <f>SUM(L8:N10)</f>
        <v>241327.94999999998</v>
      </c>
      <c r="P10" s="347" t="s">
        <v>135</v>
      </c>
    </row>
    <row r="11" spans="1:16" x14ac:dyDescent="0.25">
      <c r="A11" s="340" t="s">
        <v>375</v>
      </c>
      <c r="B11" s="340" t="s">
        <v>39</v>
      </c>
      <c r="C11" s="340" t="s">
        <v>41</v>
      </c>
      <c r="D11" s="342">
        <v>19054.79</v>
      </c>
      <c r="E11" s="342">
        <v>21378.77</v>
      </c>
      <c r="F11" s="342">
        <v>89429.65</v>
      </c>
      <c r="H11" s="348" t="s">
        <v>375</v>
      </c>
      <c r="I11" s="348" t="s">
        <v>21</v>
      </c>
      <c r="J11" s="348" t="s">
        <v>52</v>
      </c>
      <c r="K11" s="348" t="s">
        <v>209</v>
      </c>
      <c r="L11" s="349">
        <v>10643.4</v>
      </c>
      <c r="M11" s="349">
        <v>4942.5200000000004</v>
      </c>
      <c r="N11" s="349">
        <v>79095.710000000006</v>
      </c>
    </row>
    <row r="12" spans="1:16" x14ac:dyDescent="0.25">
      <c r="H12" s="348" t="s">
        <v>375</v>
      </c>
      <c r="I12" s="348" t="s">
        <v>21</v>
      </c>
      <c r="J12" s="348" t="s">
        <v>52</v>
      </c>
      <c r="K12" s="348" t="s">
        <v>332</v>
      </c>
      <c r="L12" s="349">
        <v>2580.0300000000002</v>
      </c>
      <c r="M12" s="349">
        <v>12005.63</v>
      </c>
      <c r="N12" s="349">
        <v>51499.07</v>
      </c>
      <c r="O12" s="370"/>
    </row>
    <row r="13" spans="1:16" x14ac:dyDescent="0.25">
      <c r="H13" s="348" t="s">
        <v>375</v>
      </c>
      <c r="I13" s="348" t="s">
        <v>21</v>
      </c>
      <c r="J13" s="348" t="s">
        <v>52</v>
      </c>
      <c r="K13" s="348" t="s">
        <v>240</v>
      </c>
      <c r="L13" s="349">
        <v>743.34</v>
      </c>
      <c r="M13" s="349">
        <v>482.49</v>
      </c>
      <c r="N13" s="349">
        <v>33773.75</v>
      </c>
      <c r="O13" s="350">
        <f>SUM(L11:N13)</f>
        <v>195765.94</v>
      </c>
      <c r="P13" s="351" t="s">
        <v>380</v>
      </c>
    </row>
    <row r="14" spans="1:16" x14ac:dyDescent="0.25">
      <c r="H14" s="352" t="s">
        <v>375</v>
      </c>
      <c r="I14" s="352" t="s">
        <v>21</v>
      </c>
      <c r="J14" s="352" t="s">
        <v>55</v>
      </c>
      <c r="K14" s="352" t="s">
        <v>54</v>
      </c>
      <c r="L14" s="353">
        <v>0</v>
      </c>
      <c r="M14" s="353">
        <v>0</v>
      </c>
      <c r="N14" s="353">
        <v>1526.22</v>
      </c>
    </row>
    <row r="15" spans="1:16" x14ac:dyDescent="0.25">
      <c r="H15" s="352" t="s">
        <v>375</v>
      </c>
      <c r="I15" s="352" t="s">
        <v>21</v>
      </c>
      <c r="J15" s="352" t="s">
        <v>55</v>
      </c>
      <c r="K15" s="352" t="s">
        <v>67</v>
      </c>
      <c r="L15" s="353">
        <v>2261.3000000000002</v>
      </c>
      <c r="M15" s="353">
        <v>4144.4399999999996</v>
      </c>
      <c r="N15" s="353">
        <v>16152.61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375</v>
      </c>
      <c r="I16" s="352" t="s">
        <v>21</v>
      </c>
      <c r="J16" s="352" t="s">
        <v>55</v>
      </c>
      <c r="K16" s="352" t="s">
        <v>69</v>
      </c>
      <c r="L16" s="353">
        <v>225.61</v>
      </c>
      <c r="M16" s="353">
        <v>215.38</v>
      </c>
      <c r="N16" s="353">
        <v>5127.71</v>
      </c>
    </row>
    <row r="17" spans="1:16" x14ac:dyDescent="0.25">
      <c r="A17" s="336" t="s">
        <v>38</v>
      </c>
      <c r="B17" s="415">
        <f>SUM(D10:F10)</f>
        <v>915800.57</v>
      </c>
      <c r="D17" s="502" t="s">
        <v>81</v>
      </c>
      <c r="E17" s="502"/>
      <c r="F17" s="360">
        <f>O10/B21</f>
        <v>0.22928553656962455</v>
      </c>
      <c r="H17" s="352" t="s">
        <v>375</v>
      </c>
      <c r="I17" s="352" t="s">
        <v>21</v>
      </c>
      <c r="J17" s="352" t="s">
        <v>55</v>
      </c>
      <c r="K17" s="352" t="s">
        <v>72</v>
      </c>
      <c r="L17" s="353">
        <v>3071.07</v>
      </c>
      <c r="M17" s="353">
        <v>9015.7199999999993</v>
      </c>
      <c r="N17" s="353">
        <v>17288.650000000001</v>
      </c>
    </row>
    <row r="18" spans="1:16" x14ac:dyDescent="0.25">
      <c r="A18" s="336" t="s">
        <v>39</v>
      </c>
      <c r="B18" s="415">
        <f>SUM(D11:F11)</f>
        <v>129863.20999999999</v>
      </c>
      <c r="D18" s="481" t="s">
        <v>253</v>
      </c>
      <c r="E18" s="481"/>
      <c r="F18" s="360">
        <f>O13/B21</f>
        <v>0.18599709894753977</v>
      </c>
      <c r="H18" s="352" t="s">
        <v>375</v>
      </c>
      <c r="I18" s="352" t="s">
        <v>21</v>
      </c>
      <c r="J18" s="352" t="s">
        <v>183</v>
      </c>
      <c r="K18" s="352" t="s">
        <v>363</v>
      </c>
      <c r="L18" s="353">
        <v>0</v>
      </c>
      <c r="M18" s="353">
        <v>150.41</v>
      </c>
      <c r="N18" s="353">
        <v>387.32</v>
      </c>
      <c r="O18" s="364">
        <f>SUM(L14:N18)</f>
        <v>59566.44</v>
      </c>
      <c r="P18" s="365" t="s">
        <v>378</v>
      </c>
    </row>
    <row r="19" spans="1:16" x14ac:dyDescent="0.25">
      <c r="A19" s="336" t="s">
        <v>2</v>
      </c>
      <c r="B19" s="415">
        <f>SUM(D9:F9)</f>
        <v>790.99</v>
      </c>
      <c r="D19" s="336" t="s">
        <v>78</v>
      </c>
      <c r="F19" s="360">
        <f>O18/B21</f>
        <v>5.6594037934447082E-2</v>
      </c>
      <c r="H19" s="366" t="s">
        <v>375</v>
      </c>
      <c r="I19" s="366" t="s">
        <v>43</v>
      </c>
      <c r="J19" s="366" t="s">
        <v>21</v>
      </c>
      <c r="K19" s="366" t="s">
        <v>21</v>
      </c>
      <c r="L19" s="367">
        <v>24299.63</v>
      </c>
      <c r="M19" s="367">
        <v>38232.21</v>
      </c>
      <c r="N19" s="367">
        <v>140790.87</v>
      </c>
    </row>
    <row r="20" spans="1:16" x14ac:dyDescent="0.25">
      <c r="A20" s="336" t="s">
        <v>3</v>
      </c>
      <c r="B20" s="415">
        <f>SUM(D8:F8)</f>
        <v>6066.7</v>
      </c>
      <c r="D20" s="481" t="s">
        <v>42</v>
      </c>
      <c r="E20" s="481"/>
      <c r="F20" s="360">
        <f>O22/B21</f>
        <v>0.39637556277118036</v>
      </c>
      <c r="H20" s="366" t="s">
        <v>375</v>
      </c>
      <c r="I20" s="366" t="s">
        <v>45</v>
      </c>
      <c r="J20" s="366" t="s">
        <v>21</v>
      </c>
      <c r="K20" s="366" t="s">
        <v>21</v>
      </c>
      <c r="L20" s="367">
        <v>20308.75</v>
      </c>
      <c r="M20" s="367">
        <v>20316.03</v>
      </c>
      <c r="N20" s="367">
        <v>103202.65</v>
      </c>
    </row>
    <row r="21" spans="1:16" ht="15.75" thickBot="1" x14ac:dyDescent="0.3">
      <c r="A21" s="361"/>
      <c r="B21" s="416">
        <f>SUM(B17:B20)</f>
        <v>1052521.47</v>
      </c>
      <c r="F21" s="363">
        <f>SUM(F17:F20)</f>
        <v>0.8682522362227918</v>
      </c>
      <c r="H21" s="366" t="s">
        <v>375</v>
      </c>
      <c r="I21" s="366" t="s">
        <v>46</v>
      </c>
      <c r="J21" s="366" t="s">
        <v>21</v>
      </c>
      <c r="K21" s="366" t="s">
        <v>21</v>
      </c>
      <c r="L21" s="367">
        <v>8037.59</v>
      </c>
      <c r="M21" s="367">
        <v>8926.59</v>
      </c>
      <c r="N21" s="367">
        <v>43944.11</v>
      </c>
    </row>
    <row r="22" spans="1:16" x14ac:dyDescent="0.25">
      <c r="E22" s="390" t="s">
        <v>356</v>
      </c>
      <c r="F22" s="417">
        <v>222</v>
      </c>
      <c r="H22" s="366" t="s">
        <v>375</v>
      </c>
      <c r="I22" s="366" t="s">
        <v>50</v>
      </c>
      <c r="J22" s="366" t="s">
        <v>21</v>
      </c>
      <c r="K22" s="366" t="s">
        <v>21</v>
      </c>
      <c r="L22" s="367">
        <v>2669.79</v>
      </c>
      <c r="M22" s="367">
        <v>2664.08</v>
      </c>
      <c r="N22" s="367">
        <v>3801.49</v>
      </c>
      <c r="O22" s="368">
        <f>SUM(L19:N22)</f>
        <v>417193.79000000004</v>
      </c>
      <c r="P22" s="369" t="s">
        <v>373</v>
      </c>
    </row>
    <row r="23" spans="1:16" x14ac:dyDescent="0.25">
      <c r="E23" s="390"/>
      <c r="F23" s="417"/>
      <c r="H23" s="340" t="s">
        <v>375</v>
      </c>
      <c r="I23" s="340" t="s">
        <v>21</v>
      </c>
      <c r="J23" s="340" t="s">
        <v>21</v>
      </c>
      <c r="K23" s="340" t="s">
        <v>21</v>
      </c>
      <c r="L23" s="341">
        <v>18105.82</v>
      </c>
      <c r="M23" s="341">
        <v>24984.53</v>
      </c>
      <c r="N23" s="341">
        <v>42201.5</v>
      </c>
    </row>
    <row r="24" spans="1:16" x14ac:dyDescent="0.25">
      <c r="H24" s="340" t="s">
        <v>375</v>
      </c>
      <c r="I24" s="340" t="s">
        <v>43</v>
      </c>
      <c r="J24" s="340" t="s">
        <v>52</v>
      </c>
      <c r="K24" s="340" t="s">
        <v>332</v>
      </c>
      <c r="L24" s="341">
        <v>264.18</v>
      </c>
      <c r="M24" s="341">
        <v>0</v>
      </c>
      <c r="N24" s="341">
        <v>1029.32</v>
      </c>
    </row>
    <row r="25" spans="1:16" x14ac:dyDescent="0.25">
      <c r="H25" s="340" t="s">
        <v>375</v>
      </c>
      <c r="I25" s="340" t="s">
        <v>43</v>
      </c>
      <c r="J25" s="340" t="s">
        <v>52</v>
      </c>
      <c r="K25" s="340" t="s">
        <v>210</v>
      </c>
      <c r="L25" s="341">
        <v>231</v>
      </c>
      <c r="M25" s="341">
        <v>94.29</v>
      </c>
      <c r="N25" s="341">
        <v>1650.09</v>
      </c>
    </row>
    <row r="26" spans="1:16" x14ac:dyDescent="0.25">
      <c r="B26" s="414"/>
      <c r="H26" s="340" t="s">
        <v>375</v>
      </c>
      <c r="I26" s="340" t="s">
        <v>43</v>
      </c>
      <c r="J26" s="340" t="s">
        <v>55</v>
      </c>
      <c r="K26" s="340" t="s">
        <v>67</v>
      </c>
      <c r="L26" s="341">
        <v>0</v>
      </c>
      <c r="M26" s="341">
        <v>0</v>
      </c>
      <c r="N26" s="341">
        <v>832.95</v>
      </c>
    </row>
    <row r="27" spans="1:16" x14ac:dyDescent="0.25">
      <c r="H27" s="340" t="s">
        <v>375</v>
      </c>
      <c r="I27" s="340" t="s">
        <v>43</v>
      </c>
      <c r="J27" s="340" t="s">
        <v>183</v>
      </c>
      <c r="K27" s="340" t="s">
        <v>363</v>
      </c>
      <c r="L27" s="341">
        <v>245.26</v>
      </c>
      <c r="M27" s="341">
        <v>0</v>
      </c>
      <c r="N27" s="341">
        <v>2933.8</v>
      </c>
    </row>
    <row r="28" spans="1:16" x14ac:dyDescent="0.25">
      <c r="H28" s="340" t="s">
        <v>375</v>
      </c>
      <c r="I28" s="340" t="s">
        <v>45</v>
      </c>
      <c r="J28" s="340" t="s">
        <v>52</v>
      </c>
      <c r="K28" s="340" t="s">
        <v>209</v>
      </c>
      <c r="L28" s="341">
        <v>0</v>
      </c>
      <c r="M28" s="341">
        <v>0</v>
      </c>
      <c r="N28" s="341">
        <v>444.53</v>
      </c>
    </row>
    <row r="29" spans="1:16" x14ac:dyDescent="0.25">
      <c r="H29" s="340" t="s">
        <v>375</v>
      </c>
      <c r="I29" s="340" t="s">
        <v>45</v>
      </c>
      <c r="J29" s="340" t="s">
        <v>52</v>
      </c>
      <c r="K29" s="340" t="s">
        <v>178</v>
      </c>
      <c r="L29" s="341">
        <v>188.15</v>
      </c>
      <c r="M29" s="341">
        <v>231.2</v>
      </c>
      <c r="N29" s="341">
        <v>2838.72</v>
      </c>
    </row>
    <row r="30" spans="1:16" x14ac:dyDescent="0.25">
      <c r="H30" s="340" t="s">
        <v>375</v>
      </c>
      <c r="I30" s="340" t="s">
        <v>45</v>
      </c>
      <c r="J30" s="340" t="s">
        <v>52</v>
      </c>
      <c r="K30" s="340" t="s">
        <v>332</v>
      </c>
      <c r="L30" s="341">
        <v>0</v>
      </c>
      <c r="M30" s="341">
        <v>224.67</v>
      </c>
      <c r="N30" s="341">
        <v>732.07</v>
      </c>
    </row>
    <row r="31" spans="1:16" x14ac:dyDescent="0.25">
      <c r="D31" s="345"/>
      <c r="E31" s="345"/>
      <c r="F31" s="345"/>
      <c r="H31" s="340" t="s">
        <v>375</v>
      </c>
      <c r="I31" s="340" t="s">
        <v>45</v>
      </c>
      <c r="J31" s="340" t="s">
        <v>52</v>
      </c>
      <c r="K31" s="340" t="s">
        <v>240</v>
      </c>
      <c r="L31" s="341">
        <v>263.24</v>
      </c>
      <c r="M31" s="341">
        <v>0</v>
      </c>
      <c r="N31" s="341">
        <v>13581.43</v>
      </c>
    </row>
    <row r="32" spans="1:16" x14ac:dyDescent="0.25">
      <c r="D32" s="345"/>
      <c r="E32" s="345"/>
      <c r="F32" s="345"/>
      <c r="H32" s="340" t="s">
        <v>375</v>
      </c>
      <c r="I32" s="340" t="s">
        <v>45</v>
      </c>
      <c r="J32" s="340" t="s">
        <v>55</v>
      </c>
      <c r="K32" s="340" t="s">
        <v>72</v>
      </c>
      <c r="L32" s="341">
        <v>2269.9899999999998</v>
      </c>
      <c r="M32" s="341">
        <v>0</v>
      </c>
      <c r="N32" s="341">
        <v>1973.96</v>
      </c>
    </row>
    <row r="33" spans="8:14" x14ac:dyDescent="0.25">
      <c r="H33" s="340" t="s">
        <v>375</v>
      </c>
      <c r="I33" s="340" t="s">
        <v>45</v>
      </c>
      <c r="J33" s="340" t="s">
        <v>183</v>
      </c>
      <c r="K33" s="340" t="s">
        <v>363</v>
      </c>
      <c r="L33" s="341">
        <v>1135.5899999999999</v>
      </c>
      <c r="M33" s="341">
        <v>255.84</v>
      </c>
      <c r="N33" s="341">
        <v>1968.47</v>
      </c>
    </row>
    <row r="34" spans="8:14" x14ac:dyDescent="0.25">
      <c r="H34" s="340" t="s">
        <v>375</v>
      </c>
      <c r="I34" s="340" t="s">
        <v>45</v>
      </c>
      <c r="J34" s="340" t="s">
        <v>183</v>
      </c>
      <c r="K34" s="340" t="s">
        <v>364</v>
      </c>
      <c r="L34" s="341">
        <v>1729.2</v>
      </c>
      <c r="M34" s="341">
        <v>1088.68</v>
      </c>
      <c r="N34" s="341">
        <v>7281.66</v>
      </c>
    </row>
    <row r="35" spans="8:14" x14ac:dyDescent="0.25">
      <c r="H35" s="340" t="s">
        <v>375</v>
      </c>
      <c r="I35" s="340" t="s">
        <v>45</v>
      </c>
      <c r="J35" s="340" t="s">
        <v>183</v>
      </c>
      <c r="K35" s="340" t="s">
        <v>365</v>
      </c>
      <c r="L35" s="341">
        <v>0</v>
      </c>
      <c r="M35" s="341">
        <v>0</v>
      </c>
      <c r="N35" s="341">
        <v>677.11</v>
      </c>
    </row>
    <row r="36" spans="8:14" x14ac:dyDescent="0.25">
      <c r="H36" s="340" t="s">
        <v>375</v>
      </c>
      <c r="I36" s="340" t="s">
        <v>46</v>
      </c>
      <c r="J36" s="340" t="s">
        <v>52</v>
      </c>
      <c r="K36" s="340" t="s">
        <v>178</v>
      </c>
      <c r="L36" s="341">
        <v>567.78</v>
      </c>
      <c r="M36" s="341">
        <v>226.75</v>
      </c>
      <c r="N36" s="341">
        <v>5452.38</v>
      </c>
    </row>
    <row r="37" spans="8:14" x14ac:dyDescent="0.25">
      <c r="H37" s="340" t="s">
        <v>375</v>
      </c>
      <c r="I37" s="340" t="s">
        <v>46</v>
      </c>
      <c r="J37" s="340" t="s">
        <v>52</v>
      </c>
      <c r="K37" s="340" t="s">
        <v>210</v>
      </c>
      <c r="L37" s="341">
        <v>233.8</v>
      </c>
      <c r="M37" s="341">
        <v>0</v>
      </c>
      <c r="N37" s="341">
        <v>1068.98</v>
      </c>
    </row>
    <row r="38" spans="8:14" x14ac:dyDescent="0.25">
      <c r="H38" s="340" t="s">
        <v>375</v>
      </c>
      <c r="I38" s="340" t="s">
        <v>46</v>
      </c>
      <c r="J38" s="340" t="s">
        <v>183</v>
      </c>
      <c r="K38" s="340" t="s">
        <v>363</v>
      </c>
      <c r="L38" s="341">
        <v>481.55</v>
      </c>
      <c r="M38" s="341">
        <v>0</v>
      </c>
      <c r="N38" s="341">
        <v>1178.8599999999999</v>
      </c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P48"/>
  <sheetViews>
    <sheetView zoomScale="80" zoomScaleNormal="8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375</v>
      </c>
      <c r="B8" s="340" t="s">
        <v>38</v>
      </c>
      <c r="C8" s="340" t="s">
        <v>3</v>
      </c>
      <c r="D8" s="342">
        <v>0</v>
      </c>
      <c r="E8" s="342">
        <v>193.46</v>
      </c>
      <c r="F8" s="342">
        <v>6038.49</v>
      </c>
      <c r="H8" s="343" t="s">
        <v>375</v>
      </c>
      <c r="I8" s="343" t="s">
        <v>21</v>
      </c>
      <c r="J8" s="343" t="s">
        <v>52</v>
      </c>
      <c r="K8" s="343" t="s">
        <v>209</v>
      </c>
      <c r="L8" s="344">
        <v>5285.73</v>
      </c>
      <c r="M8" s="344">
        <v>685.71</v>
      </c>
      <c r="N8" s="344">
        <v>64177.919999999998</v>
      </c>
    </row>
    <row r="9" spans="1:16" x14ac:dyDescent="0.25">
      <c r="A9" s="340" t="s">
        <v>375</v>
      </c>
      <c r="B9" s="340" t="s">
        <v>38</v>
      </c>
      <c r="C9" s="340" t="s">
        <v>323</v>
      </c>
      <c r="D9" s="342">
        <v>79.36</v>
      </c>
      <c r="E9" s="342">
        <v>624.16</v>
      </c>
      <c r="F9" s="342">
        <v>355.27</v>
      </c>
      <c r="H9" s="343" t="s">
        <v>375</v>
      </c>
      <c r="I9" s="343" t="s">
        <v>21</v>
      </c>
      <c r="J9" s="343" t="s">
        <v>52</v>
      </c>
      <c r="K9" s="343" t="s">
        <v>178</v>
      </c>
      <c r="L9" s="344">
        <v>18709.900000000001</v>
      </c>
      <c r="M9" s="344">
        <v>2432.31</v>
      </c>
      <c r="N9" s="344">
        <v>78761.41</v>
      </c>
    </row>
    <row r="10" spans="1:16" x14ac:dyDescent="0.25">
      <c r="A10" s="340" t="s">
        <v>375</v>
      </c>
      <c r="B10" s="340" t="s">
        <v>38</v>
      </c>
      <c r="C10" s="340" t="s">
        <v>41</v>
      </c>
      <c r="D10" s="342">
        <v>190249.12</v>
      </c>
      <c r="E10" s="342">
        <v>29657.86</v>
      </c>
      <c r="F10" s="342">
        <v>706316.11</v>
      </c>
      <c r="H10" s="343" t="s">
        <v>375</v>
      </c>
      <c r="I10" s="343" t="s">
        <v>21</v>
      </c>
      <c r="J10" s="343" t="s">
        <v>52</v>
      </c>
      <c r="K10" s="343" t="s">
        <v>332</v>
      </c>
      <c r="L10" s="344">
        <v>12570.92</v>
      </c>
      <c r="M10" s="344">
        <v>604.82000000000005</v>
      </c>
      <c r="N10" s="344">
        <v>46131.85</v>
      </c>
    </row>
    <row r="11" spans="1:16" x14ac:dyDescent="0.25">
      <c r="A11" s="340" t="s">
        <v>375</v>
      </c>
      <c r="B11" s="340" t="s">
        <v>39</v>
      </c>
      <c r="C11" s="340" t="s">
        <v>41</v>
      </c>
      <c r="D11" s="342">
        <v>25214.68</v>
      </c>
      <c r="E11" s="342">
        <v>6120.02</v>
      </c>
      <c r="F11" s="342">
        <v>101524.39</v>
      </c>
      <c r="H11" s="343" t="s">
        <v>375</v>
      </c>
      <c r="I11" s="343" t="s">
        <v>21</v>
      </c>
      <c r="J11" s="343" t="s">
        <v>52</v>
      </c>
      <c r="K11" s="343" t="s">
        <v>210</v>
      </c>
      <c r="L11" s="344">
        <v>7133.38</v>
      </c>
      <c r="M11" s="344">
        <v>985.15</v>
      </c>
      <c r="N11" s="344">
        <v>107942.07</v>
      </c>
    </row>
    <row r="12" spans="1:16" x14ac:dyDescent="0.25">
      <c r="H12" s="343" t="s">
        <v>375</v>
      </c>
      <c r="I12" s="343" t="s">
        <v>21</v>
      </c>
      <c r="J12" s="343" t="s">
        <v>52</v>
      </c>
      <c r="K12" s="343" t="s">
        <v>72</v>
      </c>
      <c r="L12" s="344">
        <v>13360.97</v>
      </c>
      <c r="M12" s="344">
        <v>0</v>
      </c>
      <c r="N12" s="344">
        <v>6290.47</v>
      </c>
      <c r="O12" s="346">
        <f>SUM(L8:N12)</f>
        <v>365072.61</v>
      </c>
      <c r="P12" s="347" t="s">
        <v>379</v>
      </c>
    </row>
    <row r="13" spans="1:16" x14ac:dyDescent="0.25">
      <c r="H13" s="348" t="s">
        <v>375</v>
      </c>
      <c r="I13" s="348" t="s">
        <v>21</v>
      </c>
      <c r="J13" s="348" t="s">
        <v>52</v>
      </c>
      <c r="K13" s="348" t="s">
        <v>240</v>
      </c>
      <c r="L13" s="349">
        <v>729.71</v>
      </c>
      <c r="M13" s="349">
        <v>451.72</v>
      </c>
      <c r="N13" s="349">
        <v>40171.33</v>
      </c>
      <c r="O13" s="350">
        <f>SUM(L13:N13)</f>
        <v>41352.76</v>
      </c>
      <c r="P13" s="351" t="s">
        <v>377</v>
      </c>
    </row>
    <row r="14" spans="1:16" x14ac:dyDescent="0.25">
      <c r="H14" s="352" t="s">
        <v>375</v>
      </c>
      <c r="I14" s="352" t="s">
        <v>21</v>
      </c>
      <c r="J14" s="352" t="s">
        <v>367</v>
      </c>
      <c r="K14" s="352" t="s">
        <v>368</v>
      </c>
      <c r="L14" s="353">
        <v>0</v>
      </c>
      <c r="M14" s="353">
        <v>20.059999999999999</v>
      </c>
      <c r="N14" s="353">
        <v>93.21</v>
      </c>
    </row>
    <row r="15" spans="1:16" x14ac:dyDescent="0.25">
      <c r="H15" s="352" t="s">
        <v>375</v>
      </c>
      <c r="I15" s="352" t="s">
        <v>21</v>
      </c>
      <c r="J15" s="352" t="s">
        <v>55</v>
      </c>
      <c r="K15" s="352" t="s">
        <v>54</v>
      </c>
      <c r="L15" s="353">
        <v>150.36000000000001</v>
      </c>
      <c r="M15" s="353">
        <v>0</v>
      </c>
      <c r="N15" s="353">
        <v>6235.94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375</v>
      </c>
      <c r="I16" s="352" t="s">
        <v>21</v>
      </c>
      <c r="J16" s="352" t="s">
        <v>55</v>
      </c>
      <c r="K16" s="352" t="s">
        <v>66</v>
      </c>
      <c r="L16" s="353">
        <v>331.42</v>
      </c>
      <c r="M16" s="353">
        <v>0</v>
      </c>
      <c r="N16" s="353">
        <v>448.04</v>
      </c>
    </row>
    <row r="17" spans="1:16" x14ac:dyDescent="0.25">
      <c r="A17" s="336" t="s">
        <v>38</v>
      </c>
      <c r="B17" s="415">
        <f>SUM(D10:F10)</f>
        <v>926223.09</v>
      </c>
      <c r="D17" s="502" t="s">
        <v>81</v>
      </c>
      <c r="E17" s="502"/>
      <c r="F17" s="360">
        <f>O12/B21</f>
        <v>0.3423498507445219</v>
      </c>
      <c r="H17" s="352" t="s">
        <v>375</v>
      </c>
      <c r="I17" s="352" t="s">
        <v>21</v>
      </c>
      <c r="J17" s="352" t="s">
        <v>55</v>
      </c>
      <c r="K17" s="352" t="s">
        <v>67</v>
      </c>
      <c r="L17" s="353">
        <v>4000.77</v>
      </c>
      <c r="M17" s="353">
        <v>0</v>
      </c>
      <c r="N17" s="353">
        <v>21022.63</v>
      </c>
    </row>
    <row r="18" spans="1:16" x14ac:dyDescent="0.25">
      <c r="A18" s="336" t="s">
        <v>39</v>
      </c>
      <c r="B18" s="415">
        <f>SUM(D11:F11)</f>
        <v>132859.09</v>
      </c>
      <c r="D18" s="481" t="s">
        <v>253</v>
      </c>
      <c r="E18" s="481"/>
      <c r="F18" s="360">
        <f>O13/B21</f>
        <v>3.8778891722044108E-2</v>
      </c>
      <c r="H18" s="352" t="s">
        <v>375</v>
      </c>
      <c r="I18" s="352" t="s">
        <v>21</v>
      </c>
      <c r="J18" s="352" t="s">
        <v>55</v>
      </c>
      <c r="K18" s="352" t="s">
        <v>68</v>
      </c>
      <c r="L18" s="353">
        <v>4415.6099999999997</v>
      </c>
      <c r="M18" s="353">
        <v>222.29</v>
      </c>
      <c r="N18" s="353">
        <v>17158.349999999999</v>
      </c>
    </row>
    <row r="19" spans="1:16" x14ac:dyDescent="0.25">
      <c r="A19" s="336" t="s">
        <v>2</v>
      </c>
      <c r="B19" s="415">
        <f>SUM(D9:F9)</f>
        <v>1058.79</v>
      </c>
      <c r="D19" s="336" t="s">
        <v>78</v>
      </c>
      <c r="F19" s="360">
        <f>O25/B21</f>
        <v>7.5171432522873907E-2</v>
      </c>
      <c r="H19" s="352" t="s">
        <v>375</v>
      </c>
      <c r="I19" s="352" t="s">
        <v>21</v>
      </c>
      <c r="J19" s="352" t="s">
        <v>55</v>
      </c>
      <c r="K19" s="352" t="s">
        <v>69</v>
      </c>
      <c r="L19" s="353">
        <v>306.92</v>
      </c>
      <c r="M19" s="353">
        <v>0</v>
      </c>
      <c r="N19" s="353">
        <v>2577.5500000000002</v>
      </c>
    </row>
    <row r="20" spans="1:16" x14ac:dyDescent="0.25">
      <c r="A20" s="336" t="s">
        <v>3</v>
      </c>
      <c r="B20" s="415">
        <f>SUM(D8:F8)</f>
        <v>6231.95</v>
      </c>
      <c r="D20" s="481" t="s">
        <v>42</v>
      </c>
      <c r="E20" s="481"/>
      <c r="F20" s="360">
        <f>O29/B21</f>
        <v>0.39888017786498181</v>
      </c>
      <c r="H20" s="352" t="s">
        <v>375</v>
      </c>
      <c r="I20" s="352" t="s">
        <v>21</v>
      </c>
      <c r="J20" s="352" t="s">
        <v>55</v>
      </c>
      <c r="K20" s="352" t="s">
        <v>72</v>
      </c>
      <c r="L20" s="353">
        <v>7399.91</v>
      </c>
      <c r="M20" s="353">
        <v>211.51</v>
      </c>
      <c r="N20" s="353">
        <v>10933.42</v>
      </c>
    </row>
    <row r="21" spans="1:16" ht="15.75" thickBot="1" x14ac:dyDescent="0.3">
      <c r="A21" s="361"/>
      <c r="B21" s="416">
        <f>SUM(B17:B20)</f>
        <v>1066372.92</v>
      </c>
      <c r="F21" s="363">
        <f>SUM(F17:F20)</f>
        <v>0.85518035285442173</v>
      </c>
      <c r="H21" s="352" t="s">
        <v>375</v>
      </c>
      <c r="I21" s="352" t="s">
        <v>21</v>
      </c>
      <c r="J21" s="352" t="s">
        <v>183</v>
      </c>
      <c r="K21" s="352" t="s">
        <v>360</v>
      </c>
      <c r="L21" s="353">
        <v>71.53</v>
      </c>
      <c r="M21" s="353">
        <v>0</v>
      </c>
      <c r="N21" s="353">
        <v>1776.32</v>
      </c>
    </row>
    <row r="22" spans="1:16" x14ac:dyDescent="0.25">
      <c r="E22" s="390" t="s">
        <v>356</v>
      </c>
      <c r="F22" s="417">
        <v>223</v>
      </c>
      <c r="H22" s="352" t="s">
        <v>375</v>
      </c>
      <c r="I22" s="352" t="s">
        <v>21</v>
      </c>
      <c r="J22" s="352" t="s">
        <v>183</v>
      </c>
      <c r="K22" s="352" t="s">
        <v>361</v>
      </c>
      <c r="L22" s="353">
        <v>73.739999999999995</v>
      </c>
      <c r="M22" s="353">
        <v>0</v>
      </c>
      <c r="N22" s="353">
        <v>731.64</v>
      </c>
    </row>
    <row r="23" spans="1:16" x14ac:dyDescent="0.25">
      <c r="E23" s="390"/>
      <c r="F23" s="417"/>
      <c r="H23" s="352" t="s">
        <v>375</v>
      </c>
      <c r="I23" s="352" t="s">
        <v>21</v>
      </c>
      <c r="J23" s="352" t="s">
        <v>183</v>
      </c>
      <c r="K23" s="352" t="s">
        <v>362</v>
      </c>
      <c r="L23" s="353">
        <v>0</v>
      </c>
      <c r="M23" s="353">
        <v>44.54</v>
      </c>
      <c r="N23" s="353">
        <v>491.52</v>
      </c>
    </row>
    <row r="24" spans="1:16" x14ac:dyDescent="0.25">
      <c r="H24" s="352" t="s">
        <v>375</v>
      </c>
      <c r="I24" s="352" t="s">
        <v>21</v>
      </c>
      <c r="J24" s="352" t="s">
        <v>183</v>
      </c>
      <c r="K24" s="352" t="s">
        <v>363</v>
      </c>
      <c r="L24" s="353">
        <v>300.39999999999998</v>
      </c>
      <c r="M24" s="353">
        <v>0</v>
      </c>
      <c r="N24" s="353">
        <v>989.05</v>
      </c>
    </row>
    <row r="25" spans="1:16" x14ac:dyDescent="0.25">
      <c r="H25" s="352" t="s">
        <v>375</v>
      </c>
      <c r="I25" s="352" t="s">
        <v>21</v>
      </c>
      <c r="J25" s="352" t="s">
        <v>183</v>
      </c>
      <c r="K25" s="352" t="s">
        <v>365</v>
      </c>
      <c r="L25" s="353">
        <v>7.22</v>
      </c>
      <c r="M25" s="353">
        <v>0</v>
      </c>
      <c r="N25" s="353">
        <v>146.83000000000001</v>
      </c>
      <c r="O25" s="364">
        <f>SUM(L14:N25)</f>
        <v>80160.780000000013</v>
      </c>
      <c r="P25" s="365" t="s">
        <v>378</v>
      </c>
    </row>
    <row r="26" spans="1:16" x14ac:dyDescent="0.25">
      <c r="B26" s="414"/>
      <c r="H26" s="366" t="s">
        <v>375</v>
      </c>
      <c r="I26" s="366" t="s">
        <v>43</v>
      </c>
      <c r="J26" s="366" t="s">
        <v>21</v>
      </c>
      <c r="K26" s="366" t="s">
        <v>21</v>
      </c>
      <c r="L26" s="367">
        <v>45687.03</v>
      </c>
      <c r="M26" s="367">
        <v>7170.12</v>
      </c>
      <c r="N26" s="367">
        <v>140134.07999999999</v>
      </c>
    </row>
    <row r="27" spans="1:16" x14ac:dyDescent="0.25">
      <c r="H27" s="366" t="s">
        <v>375</v>
      </c>
      <c r="I27" s="366" t="s">
        <v>45</v>
      </c>
      <c r="J27" s="366" t="s">
        <v>21</v>
      </c>
      <c r="K27" s="366" t="s">
        <v>21</v>
      </c>
      <c r="L27" s="367">
        <v>25295.62</v>
      </c>
      <c r="M27" s="367">
        <v>9418.61</v>
      </c>
      <c r="N27" s="367">
        <v>118998.93</v>
      </c>
    </row>
    <row r="28" spans="1:16" x14ac:dyDescent="0.25">
      <c r="H28" s="366" t="s">
        <v>375</v>
      </c>
      <c r="I28" s="366" t="s">
        <v>46</v>
      </c>
      <c r="J28" s="366" t="s">
        <v>21</v>
      </c>
      <c r="K28" s="366" t="s">
        <v>21</v>
      </c>
      <c r="L28" s="367">
        <v>13689.93</v>
      </c>
      <c r="M28" s="367">
        <v>5282.07</v>
      </c>
      <c r="N28" s="367">
        <v>50333.760000000002</v>
      </c>
    </row>
    <row r="29" spans="1:16" x14ac:dyDescent="0.25">
      <c r="H29" s="366" t="s">
        <v>375</v>
      </c>
      <c r="I29" s="366" t="s">
        <v>50</v>
      </c>
      <c r="J29" s="366" t="s">
        <v>21</v>
      </c>
      <c r="K29" s="366" t="s">
        <v>21</v>
      </c>
      <c r="L29" s="367">
        <v>4551.49</v>
      </c>
      <c r="M29" s="367">
        <v>657.28</v>
      </c>
      <c r="N29" s="367">
        <v>4136.1000000000004</v>
      </c>
      <c r="O29" s="368">
        <f>SUM(L26:N29)</f>
        <v>425355.01999999996</v>
      </c>
      <c r="P29" s="369" t="s">
        <v>373</v>
      </c>
    </row>
    <row r="30" spans="1:16" x14ac:dyDescent="0.25">
      <c r="H30" s="340" t="s">
        <v>375</v>
      </c>
      <c r="I30" s="340" t="s">
        <v>21</v>
      </c>
      <c r="J30" s="340" t="s">
        <v>21</v>
      </c>
      <c r="K30" s="340" t="s">
        <v>21</v>
      </c>
      <c r="L30" s="341">
        <v>45055.94</v>
      </c>
      <c r="M30" s="341">
        <v>8047.67</v>
      </c>
      <c r="N30" s="341">
        <v>40139.56</v>
      </c>
    </row>
    <row r="31" spans="1:16" x14ac:dyDescent="0.25">
      <c r="D31" s="345"/>
      <c r="E31" s="345"/>
      <c r="F31" s="345"/>
      <c r="H31" s="340" t="s">
        <v>375</v>
      </c>
      <c r="I31" s="340" t="s">
        <v>43</v>
      </c>
      <c r="J31" s="340" t="s">
        <v>52</v>
      </c>
      <c r="K31" s="340" t="s">
        <v>332</v>
      </c>
      <c r="L31" s="341">
        <v>0</v>
      </c>
      <c r="M31" s="341">
        <v>0</v>
      </c>
      <c r="N31" s="341">
        <v>1491.96</v>
      </c>
    </row>
    <row r="32" spans="1:16" x14ac:dyDescent="0.25">
      <c r="D32" s="345"/>
      <c r="E32" s="345"/>
      <c r="F32" s="345"/>
      <c r="H32" s="340" t="s">
        <v>375</v>
      </c>
      <c r="I32" s="340" t="s">
        <v>43</v>
      </c>
      <c r="J32" s="340" t="s">
        <v>55</v>
      </c>
      <c r="K32" s="340" t="s">
        <v>339</v>
      </c>
      <c r="L32" s="341">
        <v>0</v>
      </c>
      <c r="M32" s="341">
        <v>0</v>
      </c>
      <c r="N32" s="341">
        <v>1224.4000000000001</v>
      </c>
    </row>
    <row r="33" spans="8:14" x14ac:dyDescent="0.25">
      <c r="H33" s="340" t="s">
        <v>375</v>
      </c>
      <c r="I33" s="340" t="s">
        <v>43</v>
      </c>
      <c r="J33" s="340" t="s">
        <v>55</v>
      </c>
      <c r="K33" s="340" t="s">
        <v>67</v>
      </c>
      <c r="L33" s="341">
        <v>0</v>
      </c>
      <c r="M33" s="341">
        <v>0</v>
      </c>
      <c r="N33" s="341">
        <v>0</v>
      </c>
    </row>
    <row r="34" spans="8:14" x14ac:dyDescent="0.25">
      <c r="H34" s="340" t="s">
        <v>375</v>
      </c>
      <c r="I34" s="340" t="s">
        <v>43</v>
      </c>
      <c r="J34" s="340" t="s">
        <v>55</v>
      </c>
      <c r="K34" s="340" t="s">
        <v>72</v>
      </c>
      <c r="L34" s="341">
        <v>2859.4</v>
      </c>
      <c r="M34" s="341">
        <v>0</v>
      </c>
      <c r="N34" s="341">
        <v>18608.14</v>
      </c>
    </row>
    <row r="35" spans="8:14" x14ac:dyDescent="0.25">
      <c r="H35" s="340" t="s">
        <v>375</v>
      </c>
      <c r="I35" s="340" t="s">
        <v>45</v>
      </c>
      <c r="J35" s="340" t="s">
        <v>52</v>
      </c>
      <c r="K35" s="340" t="s">
        <v>178</v>
      </c>
      <c r="L35" s="341">
        <v>231.2</v>
      </c>
      <c r="M35" s="341">
        <v>0</v>
      </c>
      <c r="N35" s="341">
        <v>3001.11</v>
      </c>
    </row>
    <row r="36" spans="8:14" x14ac:dyDescent="0.25">
      <c r="H36" s="340" t="s">
        <v>375</v>
      </c>
      <c r="I36" s="340" t="s">
        <v>45</v>
      </c>
      <c r="J36" s="340" t="s">
        <v>52</v>
      </c>
      <c r="K36" s="340" t="s">
        <v>332</v>
      </c>
      <c r="L36" s="341">
        <v>224.67</v>
      </c>
      <c r="M36" s="341">
        <v>0</v>
      </c>
      <c r="N36" s="341">
        <v>756.16</v>
      </c>
    </row>
    <row r="37" spans="8:14" x14ac:dyDescent="0.25">
      <c r="H37" s="340" t="s">
        <v>375</v>
      </c>
      <c r="I37" s="340" t="s">
        <v>45</v>
      </c>
      <c r="J37" s="340" t="s">
        <v>52</v>
      </c>
      <c r="K37" s="340" t="s">
        <v>240</v>
      </c>
      <c r="L37" s="341">
        <v>0</v>
      </c>
      <c r="M37" s="341">
        <v>0</v>
      </c>
      <c r="N37" s="341">
        <v>13537.31</v>
      </c>
    </row>
    <row r="38" spans="8:14" x14ac:dyDescent="0.25">
      <c r="H38" s="340" t="s">
        <v>375</v>
      </c>
      <c r="I38" s="340" t="s">
        <v>45</v>
      </c>
      <c r="J38" s="340" t="s">
        <v>55</v>
      </c>
      <c r="K38" s="340" t="s">
        <v>54</v>
      </c>
      <c r="L38" s="341">
        <v>0</v>
      </c>
      <c r="M38" s="341">
        <v>0</v>
      </c>
      <c r="N38" s="341">
        <v>2073.96</v>
      </c>
    </row>
    <row r="39" spans="8:14" x14ac:dyDescent="0.25">
      <c r="H39" s="340" t="s">
        <v>375</v>
      </c>
      <c r="I39" s="340" t="s">
        <v>45</v>
      </c>
      <c r="J39" s="340" t="s">
        <v>183</v>
      </c>
      <c r="K39" s="340" t="s">
        <v>360</v>
      </c>
      <c r="L39" s="341">
        <v>605.74</v>
      </c>
      <c r="M39" s="341">
        <v>0</v>
      </c>
      <c r="N39" s="341">
        <v>1894.43</v>
      </c>
    </row>
    <row r="40" spans="8:14" x14ac:dyDescent="0.25">
      <c r="H40" s="340" t="s">
        <v>375</v>
      </c>
      <c r="I40" s="340" t="s">
        <v>45</v>
      </c>
      <c r="J40" s="340" t="s">
        <v>183</v>
      </c>
      <c r="K40" s="340" t="s">
        <v>361</v>
      </c>
      <c r="L40" s="341">
        <v>501.94</v>
      </c>
      <c r="M40" s="341">
        <v>0</v>
      </c>
      <c r="N40" s="341">
        <v>2248.17</v>
      </c>
    </row>
    <row r="41" spans="8:14" x14ac:dyDescent="0.25">
      <c r="H41" s="340" t="s">
        <v>375</v>
      </c>
      <c r="I41" s="340" t="s">
        <v>45</v>
      </c>
      <c r="J41" s="340" t="s">
        <v>183</v>
      </c>
      <c r="K41" s="340" t="s">
        <v>362</v>
      </c>
      <c r="L41" s="341">
        <v>0</v>
      </c>
      <c r="M41" s="341">
        <v>0</v>
      </c>
      <c r="N41" s="341">
        <v>375.23</v>
      </c>
    </row>
    <row r="42" spans="8:14" x14ac:dyDescent="0.25">
      <c r="H42" s="340" t="s">
        <v>375</v>
      </c>
      <c r="I42" s="340" t="s">
        <v>45</v>
      </c>
      <c r="J42" s="340" t="s">
        <v>183</v>
      </c>
      <c r="K42" s="340" t="s">
        <v>363</v>
      </c>
      <c r="L42" s="341">
        <v>423.04</v>
      </c>
      <c r="M42" s="341">
        <v>0</v>
      </c>
      <c r="N42" s="341">
        <v>2222.98</v>
      </c>
    </row>
    <row r="43" spans="8:14" x14ac:dyDescent="0.25">
      <c r="H43" s="340" t="s">
        <v>375</v>
      </c>
      <c r="I43" s="340" t="s">
        <v>45</v>
      </c>
      <c r="J43" s="340" t="s">
        <v>183</v>
      </c>
      <c r="K43" s="340" t="s">
        <v>364</v>
      </c>
      <c r="L43" s="341">
        <v>0</v>
      </c>
      <c r="M43" s="341">
        <v>361.64</v>
      </c>
      <c r="N43" s="341">
        <v>396.72</v>
      </c>
    </row>
    <row r="44" spans="8:14" x14ac:dyDescent="0.25">
      <c r="H44" s="340" t="s">
        <v>375</v>
      </c>
      <c r="I44" s="340" t="s">
        <v>46</v>
      </c>
      <c r="J44" s="340" t="s">
        <v>52</v>
      </c>
      <c r="K44" s="340" t="s">
        <v>178</v>
      </c>
      <c r="L44" s="341">
        <v>226.75</v>
      </c>
      <c r="M44" s="341">
        <v>0</v>
      </c>
      <c r="N44" s="341">
        <v>4160.13</v>
      </c>
    </row>
    <row r="45" spans="8:14" x14ac:dyDescent="0.25">
      <c r="H45" s="340" t="s">
        <v>375</v>
      </c>
      <c r="I45" s="340" t="s">
        <v>50</v>
      </c>
      <c r="J45" s="340" t="s">
        <v>52</v>
      </c>
      <c r="K45" s="340" t="s">
        <v>178</v>
      </c>
      <c r="L45" s="341">
        <v>721.45</v>
      </c>
      <c r="M45" s="341">
        <v>0</v>
      </c>
      <c r="N45" s="341">
        <v>2161.9499999999998</v>
      </c>
    </row>
    <row r="46" spans="8:14" x14ac:dyDescent="0.25">
      <c r="H46" s="340" t="s">
        <v>375</v>
      </c>
      <c r="I46" s="340" t="s">
        <v>50</v>
      </c>
      <c r="J46" s="340" t="s">
        <v>52</v>
      </c>
      <c r="K46" s="340" t="s">
        <v>332</v>
      </c>
      <c r="L46" s="341">
        <v>0</v>
      </c>
      <c r="M46" s="341">
        <v>0</v>
      </c>
      <c r="N46" s="341">
        <v>123.72</v>
      </c>
    </row>
    <row r="47" spans="8:14" x14ac:dyDescent="0.25">
      <c r="H47" s="340" t="s">
        <v>375</v>
      </c>
      <c r="I47" s="340" t="s">
        <v>50</v>
      </c>
      <c r="J47" s="340" t="s">
        <v>52</v>
      </c>
      <c r="K47" s="340" t="s">
        <v>72</v>
      </c>
      <c r="L47" s="341">
        <v>557.77</v>
      </c>
      <c r="M47" s="341">
        <v>0</v>
      </c>
      <c r="N47" s="341">
        <v>0</v>
      </c>
    </row>
    <row r="48" spans="8:14" x14ac:dyDescent="0.25">
      <c r="H48" s="340" t="s">
        <v>375</v>
      </c>
      <c r="I48" s="340" t="s">
        <v>50</v>
      </c>
      <c r="J48" s="340" t="s">
        <v>183</v>
      </c>
      <c r="K48" s="340" t="s">
        <v>362</v>
      </c>
      <c r="L48" s="341">
        <v>62.7</v>
      </c>
      <c r="M48" s="341">
        <v>0</v>
      </c>
      <c r="N48" s="341">
        <v>135.91</v>
      </c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P39"/>
  <sheetViews>
    <sheetView zoomScale="80" zoomScaleNormal="8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375</v>
      </c>
      <c r="B8" s="340" t="s">
        <v>38</v>
      </c>
      <c r="C8" s="340" t="s">
        <v>3</v>
      </c>
      <c r="D8" s="342">
        <v>1473.1</v>
      </c>
      <c r="E8" s="342">
        <v>0</v>
      </c>
      <c r="F8" s="342">
        <v>6140.02</v>
      </c>
      <c r="H8" s="343" t="s">
        <v>375</v>
      </c>
      <c r="I8" s="343" t="s">
        <v>21</v>
      </c>
      <c r="J8" s="343" t="s">
        <v>52</v>
      </c>
      <c r="K8" s="343" t="s">
        <v>209</v>
      </c>
      <c r="L8" s="344">
        <v>464.47</v>
      </c>
      <c r="M8" s="344">
        <v>20669.62</v>
      </c>
      <c r="N8" s="344">
        <v>41767.599999999999</v>
      </c>
    </row>
    <row r="9" spans="1:16" x14ac:dyDescent="0.25">
      <c r="A9" s="340" t="s">
        <v>375</v>
      </c>
      <c r="B9" s="340" t="s">
        <v>38</v>
      </c>
      <c r="C9" s="340" t="s">
        <v>323</v>
      </c>
      <c r="D9" s="342">
        <v>625.94000000000005</v>
      </c>
      <c r="E9" s="342">
        <v>348.36</v>
      </c>
      <c r="F9" s="342">
        <v>7.06</v>
      </c>
      <c r="H9" s="343" t="s">
        <v>375</v>
      </c>
      <c r="I9" s="343" t="s">
        <v>21</v>
      </c>
      <c r="J9" s="343" t="s">
        <v>52</v>
      </c>
      <c r="K9" s="343" t="s">
        <v>178</v>
      </c>
      <c r="L9" s="344">
        <v>2957.4</v>
      </c>
      <c r="M9" s="344">
        <v>8715.23</v>
      </c>
      <c r="N9" s="344">
        <v>83909.89</v>
      </c>
    </row>
    <row r="10" spans="1:16" x14ac:dyDescent="0.25">
      <c r="A10" s="340" t="s">
        <v>375</v>
      </c>
      <c r="B10" s="340" t="s">
        <v>38</v>
      </c>
      <c r="C10" s="340" t="s">
        <v>41</v>
      </c>
      <c r="D10" s="342">
        <v>39092.42</v>
      </c>
      <c r="E10" s="342">
        <v>98416.6</v>
      </c>
      <c r="F10" s="342">
        <v>698225.48</v>
      </c>
      <c r="H10" s="343" t="s">
        <v>375</v>
      </c>
      <c r="I10" s="343" t="s">
        <v>21</v>
      </c>
      <c r="J10" s="343" t="s">
        <v>52</v>
      </c>
      <c r="K10" s="343" t="s">
        <v>332</v>
      </c>
      <c r="L10" s="344">
        <v>914.25</v>
      </c>
      <c r="M10" s="344">
        <v>2561.6999999999998</v>
      </c>
      <c r="N10" s="344">
        <v>44474.77</v>
      </c>
    </row>
    <row r="11" spans="1:16" x14ac:dyDescent="0.25">
      <c r="A11" s="340" t="s">
        <v>375</v>
      </c>
      <c r="B11" s="340" t="s">
        <v>39</v>
      </c>
      <c r="C11" s="340" t="s">
        <v>41</v>
      </c>
      <c r="D11" s="342">
        <v>7900.27</v>
      </c>
      <c r="E11" s="342">
        <v>17467.310000000001</v>
      </c>
      <c r="F11" s="342">
        <v>102036</v>
      </c>
      <c r="H11" s="343" t="s">
        <v>375</v>
      </c>
      <c r="I11" s="343" t="s">
        <v>21</v>
      </c>
      <c r="J11" s="343" t="s">
        <v>52</v>
      </c>
      <c r="K11" s="343" t="s">
        <v>210</v>
      </c>
      <c r="L11" s="344">
        <v>811.5</v>
      </c>
      <c r="M11" s="344">
        <v>3339.66</v>
      </c>
      <c r="N11" s="344">
        <v>91083.03</v>
      </c>
      <c r="O11" s="346">
        <f>SUM(L8:N11)</f>
        <v>301669.12</v>
      </c>
      <c r="P11" s="347" t="s">
        <v>52</v>
      </c>
    </row>
    <row r="12" spans="1:16" x14ac:dyDescent="0.25">
      <c r="H12" s="348" t="s">
        <v>375</v>
      </c>
      <c r="I12" s="348" t="s">
        <v>21</v>
      </c>
      <c r="J12" s="348" t="s">
        <v>52</v>
      </c>
      <c r="K12" s="348" t="s">
        <v>240</v>
      </c>
      <c r="L12" s="349">
        <v>451.72</v>
      </c>
      <c r="M12" s="349">
        <v>759.72</v>
      </c>
      <c r="N12" s="349">
        <v>48425.51</v>
      </c>
      <c r="O12" s="350">
        <f>SUM(L12:N12)</f>
        <v>49636.950000000004</v>
      </c>
      <c r="P12" s="351" t="s">
        <v>377</v>
      </c>
    </row>
    <row r="13" spans="1:16" x14ac:dyDescent="0.25">
      <c r="H13" s="352" t="s">
        <v>375</v>
      </c>
      <c r="I13" s="352" t="s">
        <v>21</v>
      </c>
      <c r="J13" s="352" t="s">
        <v>183</v>
      </c>
      <c r="K13" s="352" t="s">
        <v>360</v>
      </c>
      <c r="L13" s="353">
        <v>0</v>
      </c>
      <c r="M13" s="353">
        <v>137.15</v>
      </c>
      <c r="N13" s="353">
        <v>1409.66</v>
      </c>
    </row>
    <row r="14" spans="1:16" x14ac:dyDescent="0.25">
      <c r="H14" s="352" t="s">
        <v>375</v>
      </c>
      <c r="I14" s="352" t="s">
        <v>21</v>
      </c>
      <c r="J14" s="352" t="s">
        <v>183</v>
      </c>
      <c r="K14" s="352" t="s">
        <v>361</v>
      </c>
      <c r="L14" s="353">
        <v>0</v>
      </c>
      <c r="M14" s="353">
        <v>363.34</v>
      </c>
      <c r="N14" s="353">
        <v>218.71</v>
      </c>
    </row>
    <row r="15" spans="1:16" x14ac:dyDescent="0.25">
      <c r="H15" s="352" t="s">
        <v>375</v>
      </c>
      <c r="I15" s="352" t="s">
        <v>21</v>
      </c>
      <c r="J15" s="352" t="s">
        <v>55</v>
      </c>
      <c r="K15" s="352" t="s">
        <v>54</v>
      </c>
      <c r="L15" s="353">
        <v>0</v>
      </c>
      <c r="M15" s="353">
        <v>100.7</v>
      </c>
      <c r="N15" s="353">
        <v>43.66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375</v>
      </c>
      <c r="I16" s="352" t="s">
        <v>21</v>
      </c>
      <c r="J16" s="352" t="s">
        <v>55</v>
      </c>
      <c r="K16" s="352" t="s">
        <v>66</v>
      </c>
      <c r="L16" s="353">
        <v>0</v>
      </c>
      <c r="M16" s="353">
        <v>0</v>
      </c>
      <c r="N16" s="353">
        <v>123.84</v>
      </c>
    </row>
    <row r="17" spans="1:16" x14ac:dyDescent="0.25">
      <c r="A17" s="336" t="s">
        <v>38</v>
      </c>
      <c r="B17" s="415">
        <f>SUM(D10:F10)</f>
        <v>835734.5</v>
      </c>
      <c r="D17" s="502" t="s">
        <v>81</v>
      </c>
      <c r="E17" s="502"/>
      <c r="F17" s="360">
        <f>O11/B21</f>
        <v>0.31044459393230583</v>
      </c>
      <c r="H17" s="352" t="s">
        <v>375</v>
      </c>
      <c r="I17" s="352" t="s">
        <v>21</v>
      </c>
      <c r="J17" s="352" t="s">
        <v>55</v>
      </c>
      <c r="K17" s="352" t="s">
        <v>67</v>
      </c>
      <c r="L17" s="353">
        <v>0</v>
      </c>
      <c r="M17" s="353">
        <v>2181.54</v>
      </c>
      <c r="N17" s="353">
        <v>20230.650000000001</v>
      </c>
    </row>
    <row r="18" spans="1:16" x14ac:dyDescent="0.25">
      <c r="A18" s="336" t="s">
        <v>39</v>
      </c>
      <c r="B18" s="415">
        <f>SUM(D11:F11)</f>
        <v>127403.58</v>
      </c>
      <c r="D18" s="481" t="s">
        <v>253</v>
      </c>
      <c r="E18" s="481"/>
      <c r="F18" s="360">
        <f>O12/B21</f>
        <v>5.1080875585768175E-2</v>
      </c>
      <c r="H18" s="352" t="s">
        <v>375</v>
      </c>
      <c r="I18" s="352" t="s">
        <v>21</v>
      </c>
      <c r="J18" s="352" t="s">
        <v>55</v>
      </c>
      <c r="K18" s="352" t="s">
        <v>68</v>
      </c>
      <c r="L18" s="353">
        <v>1713.13</v>
      </c>
      <c r="M18" s="353">
        <v>0</v>
      </c>
      <c r="N18" s="353">
        <v>8187.39</v>
      </c>
    </row>
    <row r="19" spans="1:16" x14ac:dyDescent="0.25">
      <c r="A19" s="336" t="s">
        <v>2</v>
      </c>
      <c r="B19" s="415">
        <f>SUM(D9:F9)</f>
        <v>981.36</v>
      </c>
      <c r="D19" s="336" t="s">
        <v>78</v>
      </c>
      <c r="F19" s="360">
        <f>O21/B21</f>
        <v>9.4077253107583442E-2</v>
      </c>
      <c r="H19" s="352" t="s">
        <v>375</v>
      </c>
      <c r="I19" s="352" t="s">
        <v>21</v>
      </c>
      <c r="J19" s="352" t="s">
        <v>183</v>
      </c>
      <c r="K19" s="352" t="s">
        <v>363</v>
      </c>
      <c r="L19" s="353">
        <v>0</v>
      </c>
      <c r="M19" s="353">
        <v>0</v>
      </c>
      <c r="N19" s="353">
        <v>362.33</v>
      </c>
    </row>
    <row r="20" spans="1:16" x14ac:dyDescent="0.25">
      <c r="A20" s="336" t="s">
        <v>3</v>
      </c>
      <c r="B20" s="415">
        <f>SUM(D8:F8)</f>
        <v>7613.1200000000008</v>
      </c>
      <c r="D20" s="481" t="s">
        <v>42</v>
      </c>
      <c r="E20" s="481"/>
      <c r="F20" s="360">
        <f>O25/B21</f>
        <v>0.45415085195869126</v>
      </c>
      <c r="H20" s="352" t="s">
        <v>375</v>
      </c>
      <c r="I20" s="352" t="s">
        <v>21</v>
      </c>
      <c r="J20" s="352" t="s">
        <v>52</v>
      </c>
      <c r="K20" s="352" t="s">
        <v>72</v>
      </c>
      <c r="L20" s="353">
        <v>59.85</v>
      </c>
      <c r="M20" s="353">
        <v>761.91</v>
      </c>
      <c r="N20" s="353">
        <v>9612.0499999999993</v>
      </c>
    </row>
    <row r="21" spans="1:16" ht="15.75" thickBot="1" x14ac:dyDescent="0.3">
      <c r="A21" s="361"/>
      <c r="B21" s="416">
        <f>SUM(B17:B20)</f>
        <v>971732.55999999994</v>
      </c>
      <c r="F21" s="363">
        <f>SUM(F17:F20)</f>
        <v>0.9097535745843488</v>
      </c>
      <c r="H21" s="352" t="s">
        <v>375</v>
      </c>
      <c r="I21" s="352" t="s">
        <v>21</v>
      </c>
      <c r="J21" s="352" t="s">
        <v>55</v>
      </c>
      <c r="K21" s="352" t="s">
        <v>72</v>
      </c>
      <c r="L21" s="353">
        <v>1069.3699999999999</v>
      </c>
      <c r="M21" s="353">
        <v>5022.46</v>
      </c>
      <c r="N21" s="353">
        <v>39820.19</v>
      </c>
      <c r="O21" s="364">
        <f>SUM(L13:N21)</f>
        <v>91417.930000000008</v>
      </c>
      <c r="P21" s="365" t="s">
        <v>378</v>
      </c>
    </row>
    <row r="22" spans="1:16" x14ac:dyDescent="0.25">
      <c r="E22" s="390" t="s">
        <v>356</v>
      </c>
      <c r="F22" s="417">
        <v>232</v>
      </c>
      <c r="H22" s="366" t="s">
        <v>375</v>
      </c>
      <c r="I22" s="366" t="s">
        <v>43</v>
      </c>
      <c r="J22" s="366" t="s">
        <v>21</v>
      </c>
      <c r="K22" s="366" t="s">
        <v>21</v>
      </c>
      <c r="L22" s="367">
        <v>7413.58</v>
      </c>
      <c r="M22" s="367">
        <v>24147.89</v>
      </c>
      <c r="N22" s="367">
        <v>163033.98000000001</v>
      </c>
    </row>
    <row r="23" spans="1:16" x14ac:dyDescent="0.25">
      <c r="E23" s="390"/>
      <c r="F23" s="417"/>
      <c r="H23" s="366" t="s">
        <v>375</v>
      </c>
      <c r="I23" s="366" t="s">
        <v>45</v>
      </c>
      <c r="J23" s="366" t="s">
        <v>21</v>
      </c>
      <c r="K23" s="366" t="s">
        <v>21</v>
      </c>
      <c r="L23" s="367">
        <v>10928.51</v>
      </c>
      <c r="M23" s="367">
        <v>24194.37</v>
      </c>
      <c r="N23" s="367">
        <v>132152.60999999999</v>
      </c>
    </row>
    <row r="24" spans="1:16" x14ac:dyDescent="0.25">
      <c r="H24" s="366" t="s">
        <v>375</v>
      </c>
      <c r="I24" s="366" t="s">
        <v>46</v>
      </c>
      <c r="J24" s="366" t="s">
        <v>21</v>
      </c>
      <c r="K24" s="366" t="s">
        <v>21</v>
      </c>
      <c r="L24" s="367">
        <v>6459.08</v>
      </c>
      <c r="M24" s="367">
        <v>8036.16</v>
      </c>
      <c r="N24" s="367">
        <v>46436.71</v>
      </c>
    </row>
    <row r="25" spans="1:16" x14ac:dyDescent="0.25">
      <c r="H25" s="366" t="s">
        <v>375</v>
      </c>
      <c r="I25" s="366" t="s">
        <v>50</v>
      </c>
      <c r="J25" s="366" t="s">
        <v>21</v>
      </c>
      <c r="K25" s="366" t="s">
        <v>21</v>
      </c>
      <c r="L25" s="367">
        <v>4247.78</v>
      </c>
      <c r="M25" s="367">
        <v>4009.73</v>
      </c>
      <c r="N25" s="367">
        <v>10252.77</v>
      </c>
      <c r="O25" s="368">
        <f>SUM(L22:N25)</f>
        <v>441313.17000000004</v>
      </c>
      <c r="P25" s="369" t="s">
        <v>373</v>
      </c>
    </row>
    <row r="26" spans="1:16" x14ac:dyDescent="0.25">
      <c r="B26" s="414"/>
      <c r="H26" s="340" t="s">
        <v>375</v>
      </c>
      <c r="I26" s="340" t="s">
        <v>21</v>
      </c>
      <c r="J26" s="340" t="s">
        <v>21</v>
      </c>
      <c r="K26" s="340" t="s">
        <v>21</v>
      </c>
      <c r="L26" s="341">
        <v>10893.18</v>
      </c>
      <c r="M26" s="341">
        <v>9842.94</v>
      </c>
      <c r="N26" s="341">
        <v>46372.52</v>
      </c>
    </row>
    <row r="27" spans="1:16" x14ac:dyDescent="0.25">
      <c r="H27" s="340" t="s">
        <v>375</v>
      </c>
      <c r="I27" s="340" t="s">
        <v>43</v>
      </c>
      <c r="J27" s="340" t="s">
        <v>183</v>
      </c>
      <c r="K27" s="340" t="s">
        <v>360</v>
      </c>
      <c r="L27" s="341">
        <v>44.79</v>
      </c>
      <c r="M27" s="341">
        <v>0</v>
      </c>
      <c r="N27" s="341">
        <v>1215.99</v>
      </c>
    </row>
    <row r="28" spans="1:16" x14ac:dyDescent="0.25">
      <c r="H28" s="340" t="s">
        <v>375</v>
      </c>
      <c r="I28" s="340" t="s">
        <v>43</v>
      </c>
      <c r="J28" s="340" t="s">
        <v>183</v>
      </c>
      <c r="K28" s="340" t="s">
        <v>361</v>
      </c>
      <c r="L28" s="341">
        <v>309.91000000000003</v>
      </c>
      <c r="M28" s="341">
        <v>488.47</v>
      </c>
      <c r="N28" s="341">
        <v>4025.21</v>
      </c>
    </row>
    <row r="29" spans="1:16" x14ac:dyDescent="0.25">
      <c r="H29" s="340" t="s">
        <v>375</v>
      </c>
      <c r="I29" s="340" t="s">
        <v>43</v>
      </c>
      <c r="J29" s="340" t="s">
        <v>183</v>
      </c>
      <c r="K29" s="340" t="s">
        <v>363</v>
      </c>
      <c r="L29" s="341">
        <v>0</v>
      </c>
      <c r="M29" s="341">
        <v>0</v>
      </c>
      <c r="N29" s="341">
        <v>4.58</v>
      </c>
    </row>
    <row r="30" spans="1:16" x14ac:dyDescent="0.25">
      <c r="H30" s="340" t="s">
        <v>375</v>
      </c>
      <c r="I30" s="340" t="s">
        <v>43</v>
      </c>
      <c r="J30" s="340" t="s">
        <v>55</v>
      </c>
      <c r="K30" s="340" t="s">
        <v>72</v>
      </c>
      <c r="L30" s="341">
        <v>0</v>
      </c>
      <c r="M30" s="341">
        <v>293.58999999999997</v>
      </c>
      <c r="N30" s="341">
        <v>59.8</v>
      </c>
    </row>
    <row r="31" spans="1:16" x14ac:dyDescent="0.25">
      <c r="D31" s="345"/>
      <c r="E31" s="345"/>
      <c r="F31" s="345"/>
      <c r="H31" s="340" t="s">
        <v>375</v>
      </c>
      <c r="I31" s="340" t="s">
        <v>45</v>
      </c>
      <c r="J31" s="340" t="s">
        <v>52</v>
      </c>
      <c r="K31" s="340" t="s">
        <v>332</v>
      </c>
      <c r="L31" s="341">
        <v>0</v>
      </c>
      <c r="M31" s="341">
        <v>0</v>
      </c>
      <c r="N31" s="341">
        <v>776.16</v>
      </c>
    </row>
    <row r="32" spans="1:16" x14ac:dyDescent="0.25">
      <c r="D32" s="345"/>
      <c r="E32" s="345"/>
      <c r="F32" s="345"/>
      <c r="H32" s="340" t="s">
        <v>375</v>
      </c>
      <c r="I32" s="340" t="s">
        <v>45</v>
      </c>
      <c r="J32" s="340" t="s">
        <v>183</v>
      </c>
      <c r="K32" s="340" t="s">
        <v>360</v>
      </c>
      <c r="L32" s="341">
        <v>0</v>
      </c>
      <c r="M32" s="341">
        <v>0</v>
      </c>
      <c r="N32" s="341">
        <v>2854.46</v>
      </c>
    </row>
    <row r="33" spans="8:14" x14ac:dyDescent="0.25">
      <c r="H33" s="340" t="s">
        <v>375</v>
      </c>
      <c r="I33" s="340" t="s">
        <v>45</v>
      </c>
      <c r="J33" s="340" t="s">
        <v>183</v>
      </c>
      <c r="K33" s="340" t="s">
        <v>361</v>
      </c>
      <c r="L33" s="341">
        <v>0</v>
      </c>
      <c r="M33" s="341">
        <v>240.51</v>
      </c>
      <c r="N33" s="341">
        <v>773.44</v>
      </c>
    </row>
    <row r="34" spans="8:14" x14ac:dyDescent="0.25">
      <c r="H34" s="340" t="s">
        <v>375</v>
      </c>
      <c r="I34" s="340" t="s">
        <v>45</v>
      </c>
      <c r="J34" s="340" t="s">
        <v>183</v>
      </c>
      <c r="K34" s="340" t="s">
        <v>363</v>
      </c>
      <c r="L34" s="341">
        <v>7.34</v>
      </c>
      <c r="M34" s="341">
        <v>0</v>
      </c>
      <c r="N34" s="341">
        <v>0</v>
      </c>
    </row>
    <row r="35" spans="8:14" x14ac:dyDescent="0.25">
      <c r="H35" s="340" t="s">
        <v>375</v>
      </c>
      <c r="I35" s="340" t="s">
        <v>46</v>
      </c>
      <c r="J35" s="340" t="s">
        <v>52</v>
      </c>
      <c r="K35" s="340" t="s">
        <v>178</v>
      </c>
      <c r="L35" s="341">
        <v>0</v>
      </c>
      <c r="M35" s="341">
        <v>365.58</v>
      </c>
      <c r="N35" s="341">
        <v>4086.78</v>
      </c>
    </row>
    <row r="36" spans="8:14" x14ac:dyDescent="0.25">
      <c r="H36" s="340" t="s">
        <v>375</v>
      </c>
      <c r="I36" s="340" t="s">
        <v>46</v>
      </c>
      <c r="J36" s="340" t="s">
        <v>183</v>
      </c>
      <c r="K36" s="340" t="s">
        <v>360</v>
      </c>
      <c r="L36" s="341">
        <v>345.87</v>
      </c>
      <c r="M36" s="341">
        <v>0</v>
      </c>
      <c r="N36" s="341">
        <v>1759.63</v>
      </c>
    </row>
    <row r="37" spans="8:14" x14ac:dyDescent="0.25">
      <c r="H37" s="340" t="s">
        <v>375</v>
      </c>
      <c r="I37" s="340" t="s">
        <v>46</v>
      </c>
      <c r="J37" s="340" t="s">
        <v>183</v>
      </c>
      <c r="K37" s="340" t="s">
        <v>363</v>
      </c>
      <c r="L37" s="341">
        <v>0</v>
      </c>
      <c r="M37" s="341">
        <v>0</v>
      </c>
      <c r="N37" s="341">
        <v>1460.69</v>
      </c>
    </row>
    <row r="38" spans="8:14" x14ac:dyDescent="0.25">
      <c r="H38" s="340" t="s">
        <v>375</v>
      </c>
      <c r="I38" s="340" t="s">
        <v>46</v>
      </c>
      <c r="J38" s="340" t="s">
        <v>55</v>
      </c>
      <c r="K38" s="340" t="s">
        <v>72</v>
      </c>
      <c r="L38" s="341">
        <v>0</v>
      </c>
      <c r="M38" s="341">
        <v>0</v>
      </c>
      <c r="N38" s="341">
        <v>1350.49</v>
      </c>
    </row>
    <row r="39" spans="8:14" x14ac:dyDescent="0.25">
      <c r="H39" s="340" t="s">
        <v>375</v>
      </c>
      <c r="I39" s="340" t="s">
        <v>50</v>
      </c>
      <c r="J39" s="340" t="s">
        <v>55</v>
      </c>
      <c r="K39" s="340" t="s">
        <v>67</v>
      </c>
      <c r="L39" s="341">
        <v>0</v>
      </c>
      <c r="M39" s="341">
        <v>0</v>
      </c>
      <c r="N39" s="341">
        <v>123.46</v>
      </c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P43"/>
  <sheetViews>
    <sheetView zoomScale="80" zoomScaleNormal="8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375</v>
      </c>
      <c r="B8" s="340" t="s">
        <v>38</v>
      </c>
      <c r="C8" s="340" t="s">
        <v>3</v>
      </c>
      <c r="D8" s="342">
        <v>0</v>
      </c>
      <c r="E8" s="342">
        <v>0</v>
      </c>
      <c r="F8" s="342">
        <v>6335.07</v>
      </c>
      <c r="H8" s="343" t="s">
        <v>375</v>
      </c>
      <c r="I8" s="343" t="s">
        <v>21</v>
      </c>
      <c r="J8" s="343" t="s">
        <v>52</v>
      </c>
      <c r="K8" s="343" t="s">
        <v>209</v>
      </c>
      <c r="L8" s="344">
        <v>20868.57</v>
      </c>
      <c r="M8" s="344">
        <v>1714.46</v>
      </c>
      <c r="N8" s="344">
        <v>40609.629999999997</v>
      </c>
    </row>
    <row r="9" spans="1:16" x14ac:dyDescent="0.25">
      <c r="A9" s="340" t="s">
        <v>375</v>
      </c>
      <c r="B9" s="340" t="s">
        <v>38</v>
      </c>
      <c r="C9" s="340" t="s">
        <v>323</v>
      </c>
      <c r="D9" s="342">
        <v>23439.17</v>
      </c>
      <c r="E9" s="342">
        <v>13.89</v>
      </c>
      <c r="F9" s="342">
        <v>0.95</v>
      </c>
      <c r="H9" s="343" t="s">
        <v>375</v>
      </c>
      <c r="I9" s="343" t="s">
        <v>21</v>
      </c>
      <c r="J9" s="343" t="s">
        <v>52</v>
      </c>
      <c r="K9" s="343" t="s">
        <v>178</v>
      </c>
      <c r="L9" s="344">
        <v>8073.65</v>
      </c>
      <c r="M9" s="344">
        <v>12187.67</v>
      </c>
      <c r="N9" s="344">
        <v>108934.8</v>
      </c>
    </row>
    <row r="10" spans="1:16" x14ac:dyDescent="0.25">
      <c r="A10" s="340" t="s">
        <v>375</v>
      </c>
      <c r="B10" s="340" t="s">
        <v>38</v>
      </c>
      <c r="C10" s="340" t="s">
        <v>41</v>
      </c>
      <c r="D10" s="342">
        <v>116249</v>
      </c>
      <c r="E10" s="342">
        <v>161074.03</v>
      </c>
      <c r="F10" s="342">
        <v>635362.49</v>
      </c>
      <c r="H10" s="343" t="s">
        <v>375</v>
      </c>
      <c r="I10" s="343" t="s">
        <v>21</v>
      </c>
      <c r="J10" s="343" t="s">
        <v>52</v>
      </c>
      <c r="K10" s="343" t="s">
        <v>60</v>
      </c>
      <c r="L10" s="344">
        <v>1746.2</v>
      </c>
      <c r="M10" s="344">
        <v>5693.26</v>
      </c>
      <c r="N10" s="344">
        <v>29249.4</v>
      </c>
    </row>
    <row r="11" spans="1:16" x14ac:dyDescent="0.25">
      <c r="A11" s="340" t="s">
        <v>375</v>
      </c>
      <c r="B11" s="340" t="s">
        <v>39</v>
      </c>
      <c r="C11" s="340" t="s">
        <v>41</v>
      </c>
      <c r="D11" s="342">
        <v>20804.73</v>
      </c>
      <c r="E11" s="342">
        <v>23703.200000000001</v>
      </c>
      <c r="F11" s="342">
        <v>98037.89</v>
      </c>
      <c r="H11" s="343" t="s">
        <v>375</v>
      </c>
      <c r="I11" s="343" t="s">
        <v>21</v>
      </c>
      <c r="J11" s="343" t="s">
        <v>52</v>
      </c>
      <c r="K11" s="343" t="s">
        <v>332</v>
      </c>
      <c r="L11" s="344">
        <v>2218.8000000000002</v>
      </c>
      <c r="M11" s="344">
        <v>3765.77</v>
      </c>
      <c r="N11" s="344">
        <v>41825.360000000001</v>
      </c>
    </row>
    <row r="12" spans="1:16" x14ac:dyDescent="0.25">
      <c r="H12" s="343" t="s">
        <v>375</v>
      </c>
      <c r="I12" s="343" t="s">
        <v>21</v>
      </c>
      <c r="J12" s="343" t="s">
        <v>52</v>
      </c>
      <c r="K12" s="343" t="s">
        <v>210</v>
      </c>
      <c r="L12" s="344">
        <v>133.30000000000001</v>
      </c>
      <c r="M12" s="344">
        <v>0</v>
      </c>
      <c r="N12" s="344">
        <v>30255.39</v>
      </c>
    </row>
    <row r="13" spans="1:16" x14ac:dyDescent="0.25">
      <c r="H13" s="343" t="s">
        <v>375</v>
      </c>
      <c r="I13" s="343" t="s">
        <v>21</v>
      </c>
      <c r="J13" s="343" t="s">
        <v>52</v>
      </c>
      <c r="K13" s="343" t="s">
        <v>72</v>
      </c>
      <c r="L13" s="344">
        <v>26141.16</v>
      </c>
      <c r="M13" s="344">
        <v>3449.67</v>
      </c>
      <c r="N13" s="344">
        <v>6109.57</v>
      </c>
      <c r="O13" s="346">
        <f>SUM(L8:N13)</f>
        <v>342976.66</v>
      </c>
      <c r="P13" s="347" t="s">
        <v>52</v>
      </c>
    </row>
    <row r="14" spans="1:16" x14ac:dyDescent="0.25">
      <c r="H14" s="348" t="s">
        <v>375</v>
      </c>
      <c r="I14" s="348" t="s">
        <v>21</v>
      </c>
      <c r="J14" s="348" t="s">
        <v>52</v>
      </c>
      <c r="K14" s="348" t="s">
        <v>240</v>
      </c>
      <c r="L14" s="349">
        <v>2947.16</v>
      </c>
      <c r="M14" s="349">
        <v>1077.69</v>
      </c>
      <c r="N14" s="349">
        <v>50892.1</v>
      </c>
      <c r="O14" s="350">
        <f>SUM(L14:N14)</f>
        <v>54916.95</v>
      </c>
      <c r="P14" s="351" t="s">
        <v>254</v>
      </c>
    </row>
    <row r="15" spans="1:16" x14ac:dyDescent="0.25">
      <c r="H15" s="352" t="s">
        <v>375</v>
      </c>
      <c r="I15" s="352" t="s">
        <v>21</v>
      </c>
      <c r="J15" s="352" t="s">
        <v>367</v>
      </c>
      <c r="K15" s="352" t="s">
        <v>368</v>
      </c>
      <c r="L15" s="353">
        <v>0</v>
      </c>
      <c r="M15" s="353">
        <v>282.45999999999998</v>
      </c>
      <c r="N15" s="353">
        <v>180.23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375</v>
      </c>
      <c r="I16" s="352" t="s">
        <v>21</v>
      </c>
      <c r="J16" s="352" t="s">
        <v>55</v>
      </c>
      <c r="K16" s="352" t="s">
        <v>339</v>
      </c>
      <c r="L16" s="353">
        <v>168.72</v>
      </c>
      <c r="M16" s="353">
        <v>0</v>
      </c>
      <c r="N16" s="353">
        <v>539.76</v>
      </c>
    </row>
    <row r="17" spans="1:16" x14ac:dyDescent="0.25">
      <c r="A17" s="336" t="s">
        <v>38</v>
      </c>
      <c r="B17" s="415">
        <f>SUM(D10:F10)</f>
        <v>912685.52</v>
      </c>
      <c r="D17" s="502" t="s">
        <v>81</v>
      </c>
      <c r="E17" s="502"/>
      <c r="F17" s="360">
        <f>O13/B21</f>
        <v>0.3161015716183479</v>
      </c>
      <c r="H17" s="352" t="s">
        <v>375</v>
      </c>
      <c r="I17" s="352" t="s">
        <v>21</v>
      </c>
      <c r="J17" s="352" t="s">
        <v>55</v>
      </c>
      <c r="K17" s="352" t="s">
        <v>54</v>
      </c>
      <c r="L17" s="353">
        <v>52.44</v>
      </c>
      <c r="M17" s="353">
        <v>10111.36</v>
      </c>
      <c r="N17" s="353">
        <v>20221.240000000002</v>
      </c>
    </row>
    <row r="18" spans="1:16" x14ac:dyDescent="0.25">
      <c r="A18" s="336" t="s">
        <v>39</v>
      </c>
      <c r="B18" s="415">
        <f>SUM(D11:F11)</f>
        <v>142545.82</v>
      </c>
      <c r="D18" s="481" t="s">
        <v>253</v>
      </c>
      <c r="E18" s="481"/>
      <c r="F18" s="360">
        <f>O14/B21</f>
        <v>5.0613747896099494E-2</v>
      </c>
      <c r="H18" s="352" t="s">
        <v>375</v>
      </c>
      <c r="I18" s="352" t="s">
        <v>21</v>
      </c>
      <c r="J18" s="352" t="s">
        <v>55</v>
      </c>
      <c r="K18" s="352" t="s">
        <v>66</v>
      </c>
      <c r="L18" s="353">
        <v>643.48</v>
      </c>
      <c r="M18" s="353">
        <v>486.44</v>
      </c>
      <c r="N18" s="353">
        <v>1699.21</v>
      </c>
    </row>
    <row r="19" spans="1:16" x14ac:dyDescent="0.25">
      <c r="A19" s="336" t="s">
        <v>2</v>
      </c>
      <c r="B19" s="415">
        <f>SUM(D9:F9)</f>
        <v>23454.01</v>
      </c>
      <c r="D19" s="336" t="s">
        <v>78</v>
      </c>
      <c r="F19" s="360">
        <f>O24/B21</f>
        <v>9.7763044865091117E-2</v>
      </c>
      <c r="H19" s="352" t="s">
        <v>375</v>
      </c>
      <c r="I19" s="352" t="s">
        <v>21</v>
      </c>
      <c r="J19" s="352" t="s">
        <v>55</v>
      </c>
      <c r="K19" s="352" t="s">
        <v>67</v>
      </c>
      <c r="L19" s="353">
        <v>266.77</v>
      </c>
      <c r="M19" s="353">
        <v>658.24</v>
      </c>
      <c r="N19" s="353">
        <v>3105.07</v>
      </c>
    </row>
    <row r="20" spans="1:16" x14ac:dyDescent="0.25">
      <c r="A20" s="336" t="s">
        <v>3</v>
      </c>
      <c r="B20" s="415">
        <f>SUM(D8:F8)</f>
        <v>6335.07</v>
      </c>
      <c r="D20" s="481" t="s">
        <v>42</v>
      </c>
      <c r="E20" s="481"/>
      <c r="F20" s="360">
        <f>O28/B21</f>
        <v>0.44806879302787678</v>
      </c>
      <c r="H20" s="352" t="s">
        <v>375</v>
      </c>
      <c r="I20" s="352" t="s">
        <v>21</v>
      </c>
      <c r="J20" s="352" t="s">
        <v>55</v>
      </c>
      <c r="K20" s="352" t="s">
        <v>68</v>
      </c>
      <c r="L20" s="353">
        <v>1215.1600000000001</v>
      </c>
      <c r="M20" s="353">
        <v>164.81</v>
      </c>
      <c r="N20" s="353">
        <v>4427.08</v>
      </c>
    </row>
    <row r="21" spans="1:16" ht="15.75" thickBot="1" x14ac:dyDescent="0.3">
      <c r="A21" s="361"/>
      <c r="B21" s="416">
        <f>SUM(B17:B20)</f>
        <v>1085020.4200000002</v>
      </c>
      <c r="F21" s="363">
        <f>SUM(F17:F20)</f>
        <v>0.91254715740741532</v>
      </c>
      <c r="H21" s="352" t="s">
        <v>375</v>
      </c>
      <c r="I21" s="352" t="s">
        <v>21</v>
      </c>
      <c r="J21" s="352" t="s">
        <v>55</v>
      </c>
      <c r="K21" s="352" t="s">
        <v>72</v>
      </c>
      <c r="L21" s="353">
        <v>1868.01</v>
      </c>
      <c r="M21" s="353">
        <v>11452.54</v>
      </c>
      <c r="N21" s="353">
        <v>45982.21</v>
      </c>
    </row>
    <row r="22" spans="1:16" x14ac:dyDescent="0.25">
      <c r="E22" s="390" t="s">
        <v>356</v>
      </c>
      <c r="F22" s="417">
        <v>245</v>
      </c>
      <c r="H22" s="352" t="s">
        <v>375</v>
      </c>
      <c r="I22" s="352" t="s">
        <v>21</v>
      </c>
      <c r="J22" s="352" t="s">
        <v>183</v>
      </c>
      <c r="K22" s="352" t="s">
        <v>360</v>
      </c>
      <c r="L22" s="353">
        <v>0</v>
      </c>
      <c r="M22" s="353">
        <v>33.479999999999997</v>
      </c>
      <c r="N22" s="353">
        <v>55.08</v>
      </c>
    </row>
    <row r="23" spans="1:16" x14ac:dyDescent="0.25">
      <c r="E23" s="390"/>
      <c r="F23" s="417"/>
      <c r="H23" s="352" t="s">
        <v>375</v>
      </c>
      <c r="I23" s="352" t="s">
        <v>21</v>
      </c>
      <c r="J23" s="352" t="s">
        <v>183</v>
      </c>
      <c r="K23" s="352" t="s">
        <v>363</v>
      </c>
      <c r="L23" s="353">
        <v>0</v>
      </c>
      <c r="M23" s="353">
        <v>98.69</v>
      </c>
      <c r="N23" s="353">
        <v>44.32</v>
      </c>
    </row>
    <row r="24" spans="1:16" x14ac:dyDescent="0.25">
      <c r="H24" s="352" t="s">
        <v>375</v>
      </c>
      <c r="I24" s="352" t="s">
        <v>21</v>
      </c>
      <c r="J24" s="352" t="s">
        <v>183</v>
      </c>
      <c r="K24" s="352" t="s">
        <v>364</v>
      </c>
      <c r="L24" s="353">
        <v>0</v>
      </c>
      <c r="M24" s="353">
        <v>232.35</v>
      </c>
      <c r="N24" s="353">
        <v>2085.75</v>
      </c>
      <c r="O24" s="364">
        <f>SUM(L15:N24)</f>
        <v>106074.90000000002</v>
      </c>
      <c r="P24" s="365" t="s">
        <v>110</v>
      </c>
    </row>
    <row r="25" spans="1:16" x14ac:dyDescent="0.25">
      <c r="H25" s="366" t="s">
        <v>375</v>
      </c>
      <c r="I25" s="366" t="s">
        <v>43</v>
      </c>
      <c r="J25" s="366" t="s">
        <v>21</v>
      </c>
      <c r="K25" s="366" t="s">
        <v>21</v>
      </c>
      <c r="L25" s="367">
        <v>33624.82</v>
      </c>
      <c r="M25" s="367">
        <v>74511.23</v>
      </c>
      <c r="N25" s="367">
        <v>121719.24</v>
      </c>
    </row>
    <row r="26" spans="1:16" x14ac:dyDescent="0.25">
      <c r="B26" s="414"/>
      <c r="H26" s="366" t="s">
        <v>375</v>
      </c>
      <c r="I26" s="366" t="s">
        <v>45</v>
      </c>
      <c r="J26" s="366" t="s">
        <v>21</v>
      </c>
      <c r="K26" s="366" t="s">
        <v>21</v>
      </c>
      <c r="L26" s="367">
        <v>26485.82</v>
      </c>
      <c r="M26" s="367">
        <v>23604.1</v>
      </c>
      <c r="N26" s="367">
        <v>122715.64</v>
      </c>
    </row>
    <row r="27" spans="1:16" x14ac:dyDescent="0.25">
      <c r="H27" s="366" t="s">
        <v>375</v>
      </c>
      <c r="I27" s="366" t="s">
        <v>46</v>
      </c>
      <c r="J27" s="366" t="s">
        <v>21</v>
      </c>
      <c r="K27" s="366" t="s">
        <v>21</v>
      </c>
      <c r="L27" s="367">
        <v>9359.08</v>
      </c>
      <c r="M27" s="367">
        <v>13316.39</v>
      </c>
      <c r="N27" s="367">
        <v>44394.559999999998</v>
      </c>
    </row>
    <row r="28" spans="1:16" x14ac:dyDescent="0.25">
      <c r="H28" s="366" t="s">
        <v>375</v>
      </c>
      <c r="I28" s="366" t="s">
        <v>50</v>
      </c>
      <c r="J28" s="366" t="s">
        <v>21</v>
      </c>
      <c r="K28" s="366" t="s">
        <v>21</v>
      </c>
      <c r="L28" s="367">
        <v>2776.54</v>
      </c>
      <c r="M28" s="367">
        <v>8550.82</v>
      </c>
      <c r="N28" s="367">
        <v>5105.55</v>
      </c>
      <c r="O28" s="368">
        <f>SUM(L25:N28)</f>
        <v>486163.79</v>
      </c>
      <c r="P28" s="369" t="s">
        <v>369</v>
      </c>
    </row>
    <row r="29" spans="1:16" x14ac:dyDescent="0.25">
      <c r="H29" s="336" t="s">
        <v>375</v>
      </c>
      <c r="I29" s="336" t="s">
        <v>21</v>
      </c>
      <c r="J29" s="336" t="s">
        <v>21</v>
      </c>
      <c r="K29" s="336" t="s">
        <v>21</v>
      </c>
      <c r="L29" s="370">
        <v>18832.009999999998</v>
      </c>
      <c r="M29" s="370">
        <v>11289.18</v>
      </c>
      <c r="N29" s="370">
        <v>37814.57</v>
      </c>
    </row>
    <row r="30" spans="1:16" x14ac:dyDescent="0.25">
      <c r="H30" s="336" t="s">
        <v>375</v>
      </c>
      <c r="I30" s="336" t="s">
        <v>43</v>
      </c>
      <c r="J30" s="336" t="s">
        <v>55</v>
      </c>
      <c r="K30" s="336" t="s">
        <v>68</v>
      </c>
      <c r="L30" s="370">
        <v>92.44</v>
      </c>
      <c r="M30" s="370">
        <v>0</v>
      </c>
      <c r="N30" s="370">
        <v>1286.08</v>
      </c>
    </row>
    <row r="31" spans="1:16" x14ac:dyDescent="0.25">
      <c r="D31" s="345"/>
      <c r="E31" s="345"/>
      <c r="F31" s="345"/>
      <c r="H31" s="336" t="s">
        <v>375</v>
      </c>
      <c r="I31" s="336" t="s">
        <v>43</v>
      </c>
      <c r="J31" s="336" t="s">
        <v>55</v>
      </c>
      <c r="K31" s="336" t="s">
        <v>72</v>
      </c>
      <c r="L31" s="370">
        <v>0</v>
      </c>
      <c r="M31" s="370">
        <v>23.02</v>
      </c>
      <c r="N31" s="370">
        <v>0</v>
      </c>
    </row>
    <row r="32" spans="1:16" x14ac:dyDescent="0.25">
      <c r="D32" s="345"/>
      <c r="E32" s="345"/>
      <c r="F32" s="345"/>
      <c r="H32" s="336" t="s">
        <v>375</v>
      </c>
      <c r="I32" s="336" t="s">
        <v>43</v>
      </c>
      <c r="J32" s="336" t="s">
        <v>183</v>
      </c>
      <c r="K32" s="336" t="s">
        <v>363</v>
      </c>
      <c r="L32" s="370">
        <v>851.81</v>
      </c>
      <c r="M32" s="370">
        <v>0</v>
      </c>
      <c r="N32" s="370">
        <v>4342.38</v>
      </c>
    </row>
    <row r="33" spans="8:14" x14ac:dyDescent="0.25">
      <c r="H33" s="336" t="s">
        <v>375</v>
      </c>
      <c r="I33" s="336" t="s">
        <v>43</v>
      </c>
      <c r="J33" s="336" t="s">
        <v>183</v>
      </c>
      <c r="K33" s="336" t="s">
        <v>365</v>
      </c>
      <c r="L33" s="370">
        <v>0</v>
      </c>
      <c r="M33" s="370">
        <v>387.32</v>
      </c>
      <c r="N33" s="370">
        <v>363.8</v>
      </c>
    </row>
    <row r="34" spans="8:14" x14ac:dyDescent="0.25">
      <c r="H34" s="336" t="s">
        <v>375</v>
      </c>
      <c r="I34" s="336" t="s">
        <v>45</v>
      </c>
      <c r="J34" s="336" t="s">
        <v>52</v>
      </c>
      <c r="K34" s="336" t="s">
        <v>332</v>
      </c>
      <c r="L34" s="370">
        <v>0</v>
      </c>
      <c r="M34" s="370">
        <v>264.04000000000002</v>
      </c>
      <c r="N34" s="370">
        <v>464.73</v>
      </c>
    </row>
    <row r="35" spans="8:14" x14ac:dyDescent="0.25">
      <c r="H35" s="336" t="s">
        <v>375</v>
      </c>
      <c r="I35" s="336" t="s">
        <v>45</v>
      </c>
      <c r="J35" s="336" t="s">
        <v>183</v>
      </c>
      <c r="K35" s="336" t="s">
        <v>363</v>
      </c>
      <c r="L35" s="370">
        <v>515.73</v>
      </c>
      <c r="M35" s="370">
        <v>527.80999999999995</v>
      </c>
      <c r="N35" s="370">
        <v>2570.9899999999998</v>
      </c>
    </row>
    <row r="36" spans="8:14" x14ac:dyDescent="0.25">
      <c r="H36" s="336" t="s">
        <v>375</v>
      </c>
      <c r="I36" s="336" t="s">
        <v>45</v>
      </c>
      <c r="J36" s="336" t="s">
        <v>183</v>
      </c>
      <c r="K36" s="336" t="s">
        <v>364</v>
      </c>
      <c r="L36" s="370">
        <v>663.81</v>
      </c>
      <c r="M36" s="370">
        <v>0</v>
      </c>
      <c r="N36" s="370">
        <v>2456.33</v>
      </c>
    </row>
    <row r="37" spans="8:14" x14ac:dyDescent="0.25">
      <c r="H37" s="336" t="s">
        <v>375</v>
      </c>
      <c r="I37" s="336" t="s">
        <v>45</v>
      </c>
      <c r="J37" s="336" t="s">
        <v>183</v>
      </c>
      <c r="K37" s="336" t="s">
        <v>365</v>
      </c>
      <c r="L37" s="370">
        <v>248.74</v>
      </c>
      <c r="M37" s="370">
        <v>908.32</v>
      </c>
      <c r="N37" s="370">
        <v>2738.01</v>
      </c>
    </row>
    <row r="38" spans="8:14" x14ac:dyDescent="0.25">
      <c r="H38" s="336" t="s">
        <v>375</v>
      </c>
      <c r="I38" s="336" t="s">
        <v>46</v>
      </c>
      <c r="J38" s="336" t="s">
        <v>52</v>
      </c>
      <c r="K38" s="336" t="s">
        <v>178</v>
      </c>
      <c r="L38" s="370">
        <v>365.58</v>
      </c>
      <c r="M38" s="370">
        <v>0</v>
      </c>
      <c r="N38" s="370">
        <v>4075.77</v>
      </c>
    </row>
    <row r="39" spans="8:14" x14ac:dyDescent="0.25">
      <c r="H39" s="336" t="s">
        <v>375</v>
      </c>
      <c r="I39" s="336" t="s">
        <v>46</v>
      </c>
      <c r="J39" s="336" t="s">
        <v>52</v>
      </c>
      <c r="K39" s="336" t="s">
        <v>240</v>
      </c>
      <c r="L39" s="370">
        <v>0</v>
      </c>
      <c r="M39" s="370">
        <v>0</v>
      </c>
      <c r="N39" s="370">
        <v>3045.13</v>
      </c>
    </row>
    <row r="40" spans="8:14" x14ac:dyDescent="0.25">
      <c r="H40" s="336" t="s">
        <v>375</v>
      </c>
      <c r="I40" s="336" t="s">
        <v>46</v>
      </c>
      <c r="J40" s="336" t="s">
        <v>183</v>
      </c>
      <c r="K40" s="336" t="s">
        <v>364</v>
      </c>
      <c r="L40" s="370">
        <v>333.1</v>
      </c>
      <c r="M40" s="370">
        <v>0</v>
      </c>
      <c r="N40" s="370">
        <v>426.72</v>
      </c>
    </row>
    <row r="41" spans="8:14" x14ac:dyDescent="0.25">
      <c r="H41" s="336" t="s">
        <v>375</v>
      </c>
      <c r="I41" s="336" t="s">
        <v>50</v>
      </c>
      <c r="J41" s="336" t="s">
        <v>52</v>
      </c>
      <c r="K41" s="336" t="s">
        <v>72</v>
      </c>
      <c r="L41" s="370">
        <v>0</v>
      </c>
      <c r="M41" s="370">
        <v>0</v>
      </c>
      <c r="N41" s="370">
        <v>0.7</v>
      </c>
    </row>
    <row r="42" spans="8:14" x14ac:dyDescent="0.25">
      <c r="H42" s="336" t="s">
        <v>375</v>
      </c>
      <c r="I42" s="336" t="s">
        <v>50</v>
      </c>
      <c r="J42" s="336" t="s">
        <v>367</v>
      </c>
      <c r="K42" s="336" t="s">
        <v>368</v>
      </c>
      <c r="L42" s="370">
        <v>0</v>
      </c>
      <c r="M42" s="370">
        <v>0</v>
      </c>
      <c r="N42" s="370">
        <v>0</v>
      </c>
    </row>
    <row r="43" spans="8:14" x14ac:dyDescent="0.25">
      <c r="H43" s="336" t="s">
        <v>375</v>
      </c>
      <c r="I43" s="336" t="s">
        <v>50</v>
      </c>
      <c r="J43" s="336" t="s">
        <v>55</v>
      </c>
      <c r="K43" s="336" t="s">
        <v>54</v>
      </c>
      <c r="L43" s="370">
        <v>0</v>
      </c>
      <c r="M43" s="370">
        <v>0</v>
      </c>
      <c r="N43" s="370">
        <v>0</v>
      </c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P42"/>
  <sheetViews>
    <sheetView zoomScale="80" zoomScaleNormal="8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375</v>
      </c>
      <c r="B8" s="340" t="s">
        <v>38</v>
      </c>
      <c r="C8" s="340" t="s">
        <v>3</v>
      </c>
      <c r="D8" s="342">
        <v>0</v>
      </c>
      <c r="E8" s="342">
        <v>238.45</v>
      </c>
      <c r="F8" s="342">
        <v>6299.61</v>
      </c>
      <c r="H8" s="343" t="s">
        <v>375</v>
      </c>
      <c r="I8" s="343" t="s">
        <v>21</v>
      </c>
      <c r="J8" s="343" t="s">
        <v>52</v>
      </c>
      <c r="K8" s="343" t="s">
        <v>209</v>
      </c>
      <c r="L8" s="344">
        <v>1316.02</v>
      </c>
      <c r="M8" s="344">
        <v>223.24</v>
      </c>
      <c r="N8" s="344">
        <v>39243.14</v>
      </c>
    </row>
    <row r="9" spans="1:16" x14ac:dyDescent="0.25">
      <c r="A9" s="340" t="s">
        <v>375</v>
      </c>
      <c r="B9" s="340" t="s">
        <v>38</v>
      </c>
      <c r="C9" s="340" t="s">
        <v>323</v>
      </c>
      <c r="D9" s="342">
        <v>16.55</v>
      </c>
      <c r="E9" s="342">
        <v>0</v>
      </c>
      <c r="F9" s="342">
        <v>191.21</v>
      </c>
      <c r="H9" s="343" t="s">
        <v>375</v>
      </c>
      <c r="I9" s="343" t="s">
        <v>21</v>
      </c>
      <c r="J9" s="343" t="s">
        <v>52</v>
      </c>
      <c r="K9" s="343" t="s">
        <v>178</v>
      </c>
      <c r="L9" s="344">
        <v>12911.38</v>
      </c>
      <c r="M9" s="344">
        <v>4340.88</v>
      </c>
      <c r="N9" s="344">
        <v>73238.350000000006</v>
      </c>
    </row>
    <row r="10" spans="1:16" x14ac:dyDescent="0.25">
      <c r="A10" s="340" t="s">
        <v>375</v>
      </c>
      <c r="B10" s="340" t="s">
        <v>38</v>
      </c>
      <c r="C10" s="340" t="s">
        <v>41</v>
      </c>
      <c r="D10" s="342">
        <v>213607.98</v>
      </c>
      <c r="E10" s="342">
        <v>39175.65</v>
      </c>
      <c r="F10" s="342">
        <v>684467.54</v>
      </c>
      <c r="H10" s="343" t="s">
        <v>375</v>
      </c>
      <c r="I10" s="343" t="s">
        <v>21</v>
      </c>
      <c r="J10" s="343" t="s">
        <v>52</v>
      </c>
      <c r="K10" s="343" t="s">
        <v>60</v>
      </c>
      <c r="L10" s="344">
        <v>5108.2</v>
      </c>
      <c r="M10" s="344">
        <v>422.93</v>
      </c>
      <c r="N10" s="344">
        <v>20882.95</v>
      </c>
    </row>
    <row r="11" spans="1:16" x14ac:dyDescent="0.25">
      <c r="A11" s="340" t="s">
        <v>375</v>
      </c>
      <c r="B11" s="340" t="s">
        <v>39</v>
      </c>
      <c r="C11" s="340" t="s">
        <v>41</v>
      </c>
      <c r="D11" s="342">
        <v>28280.04</v>
      </c>
      <c r="E11" s="342">
        <v>11520.81</v>
      </c>
      <c r="F11" s="342">
        <v>108658.49</v>
      </c>
      <c r="H11" s="343" t="s">
        <v>375</v>
      </c>
      <c r="I11" s="343" t="s">
        <v>21</v>
      </c>
      <c r="J11" s="343" t="s">
        <v>52</v>
      </c>
      <c r="K11" s="343" t="s">
        <v>332</v>
      </c>
      <c r="L11" s="344">
        <v>4968.26</v>
      </c>
      <c r="M11" s="344">
        <v>1233.69</v>
      </c>
      <c r="N11" s="344">
        <v>45543.46</v>
      </c>
    </row>
    <row r="12" spans="1:16" x14ac:dyDescent="0.25">
      <c r="H12" s="343" t="s">
        <v>375</v>
      </c>
      <c r="I12" s="343" t="s">
        <v>21</v>
      </c>
      <c r="J12" s="343" t="s">
        <v>52</v>
      </c>
      <c r="K12" s="343" t="s">
        <v>210</v>
      </c>
      <c r="L12" s="344">
        <v>0</v>
      </c>
      <c r="M12" s="344">
        <v>1392.98</v>
      </c>
      <c r="N12" s="344">
        <v>34495.58</v>
      </c>
    </row>
    <row r="13" spans="1:16" x14ac:dyDescent="0.25">
      <c r="H13" s="343" t="s">
        <v>375</v>
      </c>
      <c r="I13" s="343" t="s">
        <v>21</v>
      </c>
      <c r="J13" s="343" t="s">
        <v>52</v>
      </c>
      <c r="K13" s="343" t="s">
        <v>72</v>
      </c>
      <c r="L13" s="344">
        <v>2811.96</v>
      </c>
      <c r="M13" s="344">
        <v>1911.9</v>
      </c>
      <c r="N13" s="344">
        <v>32319.72</v>
      </c>
      <c r="O13" s="346">
        <f>SUM(L8:N13)</f>
        <v>282364.64</v>
      </c>
      <c r="P13" s="347" t="s">
        <v>52</v>
      </c>
    </row>
    <row r="14" spans="1:16" x14ac:dyDescent="0.25">
      <c r="H14" s="348" t="s">
        <v>375</v>
      </c>
      <c r="I14" s="348" t="s">
        <v>21</v>
      </c>
      <c r="J14" s="348" t="s">
        <v>52</v>
      </c>
      <c r="K14" s="348" t="s">
        <v>240</v>
      </c>
      <c r="L14" s="349">
        <v>8214.2800000000007</v>
      </c>
      <c r="M14" s="349">
        <v>259.69</v>
      </c>
      <c r="N14" s="349">
        <v>72519.850000000006</v>
      </c>
      <c r="O14" s="350">
        <f>SUM(L14:N14)</f>
        <v>80993.820000000007</v>
      </c>
      <c r="P14" s="351" t="s">
        <v>376</v>
      </c>
    </row>
    <row r="15" spans="1:16" x14ac:dyDescent="0.25">
      <c r="H15" s="352" t="s">
        <v>375</v>
      </c>
      <c r="I15" s="352" t="s">
        <v>21</v>
      </c>
      <c r="J15" s="352" t="s">
        <v>55</v>
      </c>
      <c r="K15" s="352" t="s">
        <v>54</v>
      </c>
      <c r="L15" s="353">
        <v>150.81</v>
      </c>
      <c r="M15" s="353">
        <v>262.54000000000002</v>
      </c>
      <c r="N15" s="353">
        <v>3390.08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375</v>
      </c>
      <c r="I16" s="352" t="s">
        <v>21</v>
      </c>
      <c r="J16" s="352" t="s">
        <v>55</v>
      </c>
      <c r="K16" s="352" t="s">
        <v>66</v>
      </c>
      <c r="L16" s="353">
        <v>1464.59</v>
      </c>
      <c r="M16" s="353">
        <v>0</v>
      </c>
      <c r="N16" s="353">
        <v>5468.94</v>
      </c>
    </row>
    <row r="17" spans="1:16" x14ac:dyDescent="0.25">
      <c r="A17" s="336" t="s">
        <v>38</v>
      </c>
      <c r="B17" s="415">
        <f>SUM(D10:F10)</f>
        <v>937251.17</v>
      </c>
      <c r="D17" s="502" t="s">
        <v>81</v>
      </c>
      <c r="E17" s="502"/>
      <c r="F17" s="360">
        <f>O13/B21</f>
        <v>0.25846766799364879</v>
      </c>
      <c r="H17" s="352" t="s">
        <v>375</v>
      </c>
      <c r="I17" s="352" t="s">
        <v>21</v>
      </c>
      <c r="J17" s="352" t="s">
        <v>55</v>
      </c>
      <c r="K17" s="352" t="s">
        <v>67</v>
      </c>
      <c r="L17" s="353">
        <v>75.66</v>
      </c>
      <c r="M17" s="353">
        <v>0</v>
      </c>
      <c r="N17" s="353">
        <v>1131.49</v>
      </c>
    </row>
    <row r="18" spans="1:16" x14ac:dyDescent="0.25">
      <c r="A18" s="336" t="s">
        <v>39</v>
      </c>
      <c r="B18" s="415">
        <f>SUM(D11:F11)</f>
        <v>148459.34</v>
      </c>
      <c r="D18" s="481" t="s">
        <v>253</v>
      </c>
      <c r="E18" s="481"/>
      <c r="F18" s="360">
        <f>O14/B21</f>
        <v>7.4139183211103729E-2</v>
      </c>
      <c r="H18" s="352" t="s">
        <v>375</v>
      </c>
      <c r="I18" s="352" t="s">
        <v>21</v>
      </c>
      <c r="J18" s="352" t="s">
        <v>55</v>
      </c>
      <c r="K18" s="352" t="s">
        <v>68</v>
      </c>
      <c r="L18" s="353">
        <v>1406.46</v>
      </c>
      <c r="M18" s="353">
        <v>0</v>
      </c>
      <c r="N18" s="353">
        <v>14158.85</v>
      </c>
    </row>
    <row r="19" spans="1:16" x14ac:dyDescent="0.25">
      <c r="A19" s="336" t="s">
        <v>2</v>
      </c>
      <c r="B19" s="415">
        <f>SUM(D9:F9)</f>
        <v>207.76000000000002</v>
      </c>
      <c r="D19" s="336" t="s">
        <v>78</v>
      </c>
      <c r="F19" s="360">
        <f>O22/B21</f>
        <v>7.9642149174054419E-2</v>
      </c>
      <c r="H19" s="352" t="s">
        <v>375</v>
      </c>
      <c r="I19" s="352" t="s">
        <v>21</v>
      </c>
      <c r="J19" s="352" t="s">
        <v>55</v>
      </c>
      <c r="K19" s="352" t="s">
        <v>72</v>
      </c>
      <c r="L19" s="353">
        <v>9980.02</v>
      </c>
      <c r="M19" s="353">
        <v>1283.23</v>
      </c>
      <c r="N19" s="353">
        <v>35542.410000000003</v>
      </c>
    </row>
    <row r="20" spans="1:16" x14ac:dyDescent="0.25">
      <c r="A20" s="336" t="s">
        <v>3</v>
      </c>
      <c r="B20" s="415">
        <f>SUM(D8:F8)</f>
        <v>6538.0599999999995</v>
      </c>
      <c r="D20" s="481" t="s">
        <v>42</v>
      </c>
      <c r="E20" s="481"/>
      <c r="F20" s="360">
        <f>O26/B21</f>
        <v>0.48887261241829233</v>
      </c>
      <c r="H20" s="352" t="s">
        <v>375</v>
      </c>
      <c r="I20" s="352" t="s">
        <v>21</v>
      </c>
      <c r="J20" s="352" t="s">
        <v>183</v>
      </c>
      <c r="K20" s="352" t="s">
        <v>363</v>
      </c>
      <c r="L20" s="353">
        <v>232.35</v>
      </c>
      <c r="M20" s="353">
        <v>0</v>
      </c>
      <c r="N20" s="353">
        <v>7769.14</v>
      </c>
    </row>
    <row r="21" spans="1:16" ht="15.75" thickBot="1" x14ac:dyDescent="0.3">
      <c r="A21" s="361"/>
      <c r="B21" s="416">
        <f>SUM(B17:B20)</f>
        <v>1092456.33</v>
      </c>
      <c r="F21" s="363">
        <f>SUM(F17:F20)</f>
        <v>0.90112161279709935</v>
      </c>
      <c r="H21" s="352" t="s">
        <v>375</v>
      </c>
      <c r="I21" s="352" t="s">
        <v>21</v>
      </c>
      <c r="J21" s="352" t="s">
        <v>183</v>
      </c>
      <c r="K21" s="352" t="s">
        <v>364</v>
      </c>
      <c r="L21" s="353">
        <v>242.16</v>
      </c>
      <c r="M21" s="353">
        <v>187.48</v>
      </c>
      <c r="N21" s="353">
        <v>3264.48</v>
      </c>
    </row>
    <row r="22" spans="1:16" x14ac:dyDescent="0.25">
      <c r="E22" s="390" t="s">
        <v>356</v>
      </c>
      <c r="F22" s="417">
        <v>231</v>
      </c>
      <c r="H22" s="352" t="s">
        <v>375</v>
      </c>
      <c r="I22" s="352" t="s">
        <v>21</v>
      </c>
      <c r="J22" s="352" t="s">
        <v>183</v>
      </c>
      <c r="K22" s="352" t="s">
        <v>365</v>
      </c>
      <c r="L22" s="353">
        <v>0</v>
      </c>
      <c r="M22" s="353">
        <v>90.33</v>
      </c>
      <c r="N22" s="353">
        <v>904.55</v>
      </c>
      <c r="O22" s="364">
        <f>SUM(L15:N22)</f>
        <v>87005.570000000022</v>
      </c>
      <c r="P22" s="365" t="s">
        <v>110</v>
      </c>
    </row>
    <row r="23" spans="1:16" x14ac:dyDescent="0.25">
      <c r="E23" s="390"/>
      <c r="F23" s="417"/>
      <c r="H23" s="366" t="s">
        <v>375</v>
      </c>
      <c r="I23" s="366" t="s">
        <v>43</v>
      </c>
      <c r="J23" s="366" t="s">
        <v>21</v>
      </c>
      <c r="K23" s="366" t="s">
        <v>21</v>
      </c>
      <c r="L23" s="367">
        <v>78983.39</v>
      </c>
      <c r="M23" s="367">
        <v>7662.84</v>
      </c>
      <c r="N23" s="367">
        <v>151083.47</v>
      </c>
    </row>
    <row r="24" spans="1:16" x14ac:dyDescent="0.25">
      <c r="H24" s="366" t="s">
        <v>375</v>
      </c>
      <c r="I24" s="366" t="s">
        <v>45</v>
      </c>
      <c r="J24" s="366" t="s">
        <v>21</v>
      </c>
      <c r="K24" s="366" t="s">
        <v>21</v>
      </c>
      <c r="L24" s="367">
        <v>27074.7</v>
      </c>
      <c r="M24" s="367">
        <v>9876.7199999999993</v>
      </c>
      <c r="N24" s="367">
        <v>126020.05</v>
      </c>
    </row>
    <row r="25" spans="1:16" x14ac:dyDescent="0.25">
      <c r="H25" s="366" t="s">
        <v>375</v>
      </c>
      <c r="I25" s="366" t="s">
        <v>46</v>
      </c>
      <c r="J25" s="366" t="s">
        <v>21</v>
      </c>
      <c r="K25" s="366" t="s">
        <v>21</v>
      </c>
      <c r="L25" s="367">
        <v>17187.759999999998</v>
      </c>
      <c r="M25" s="367">
        <v>5825.03</v>
      </c>
      <c r="N25" s="367">
        <v>49939.22</v>
      </c>
    </row>
    <row r="26" spans="1:16" x14ac:dyDescent="0.25">
      <c r="B26" s="414"/>
      <c r="H26" s="366" t="s">
        <v>375</v>
      </c>
      <c r="I26" s="366" t="s">
        <v>50</v>
      </c>
      <c r="J26" s="366" t="s">
        <v>21</v>
      </c>
      <c r="K26" s="366" t="s">
        <v>21</v>
      </c>
      <c r="L26" s="367">
        <v>44124.480000000003</v>
      </c>
      <c r="M26" s="367">
        <v>1830.14</v>
      </c>
      <c r="N26" s="367">
        <v>14464.18</v>
      </c>
      <c r="O26" s="368">
        <f>SUM(L23:N26)</f>
        <v>534071.9800000001</v>
      </c>
      <c r="P26" s="369" t="s">
        <v>369</v>
      </c>
    </row>
    <row r="27" spans="1:16" x14ac:dyDescent="0.25">
      <c r="H27" s="336" t="s">
        <v>375</v>
      </c>
      <c r="I27" s="336" t="s">
        <v>21</v>
      </c>
      <c r="J27" s="336" t="s">
        <v>21</v>
      </c>
      <c r="K27" s="336" t="s">
        <v>21</v>
      </c>
      <c r="L27" s="370">
        <v>20531.14</v>
      </c>
      <c r="M27" s="370">
        <v>10095.26</v>
      </c>
      <c r="N27" s="370">
        <v>32458.89</v>
      </c>
    </row>
    <row r="28" spans="1:16" x14ac:dyDescent="0.25">
      <c r="H28" s="336" t="s">
        <v>375</v>
      </c>
      <c r="I28" s="336" t="s">
        <v>43</v>
      </c>
      <c r="J28" s="336" t="s">
        <v>52</v>
      </c>
      <c r="K28" s="336" t="s">
        <v>178</v>
      </c>
      <c r="L28" s="370">
        <v>326.14999999999998</v>
      </c>
      <c r="M28" s="370">
        <v>0</v>
      </c>
      <c r="N28" s="370">
        <v>1476.57</v>
      </c>
    </row>
    <row r="29" spans="1:16" x14ac:dyDescent="0.25">
      <c r="H29" s="336" t="s">
        <v>375</v>
      </c>
      <c r="I29" s="336" t="s">
        <v>43</v>
      </c>
      <c r="J29" s="336" t="s">
        <v>55</v>
      </c>
      <c r="K29" s="336" t="s">
        <v>54</v>
      </c>
      <c r="L29" s="370">
        <v>0</v>
      </c>
      <c r="M29" s="370">
        <v>0</v>
      </c>
      <c r="N29" s="370">
        <v>569.64</v>
      </c>
    </row>
    <row r="30" spans="1:16" x14ac:dyDescent="0.25">
      <c r="H30" s="336" t="s">
        <v>375</v>
      </c>
      <c r="I30" s="336" t="s">
        <v>43</v>
      </c>
      <c r="J30" s="336" t="s">
        <v>55</v>
      </c>
      <c r="K30" s="336" t="s">
        <v>67</v>
      </c>
      <c r="L30" s="370">
        <v>0</v>
      </c>
      <c r="M30" s="370">
        <v>0</v>
      </c>
      <c r="N30" s="370">
        <v>1731.41</v>
      </c>
    </row>
    <row r="31" spans="1:16" x14ac:dyDescent="0.25">
      <c r="D31" s="345"/>
      <c r="E31" s="345"/>
      <c r="F31" s="345"/>
      <c r="H31" s="336" t="s">
        <v>375</v>
      </c>
      <c r="I31" s="336" t="s">
        <v>43</v>
      </c>
      <c r="J31" s="336" t="s">
        <v>55</v>
      </c>
      <c r="K31" s="336" t="s">
        <v>72</v>
      </c>
      <c r="L31" s="370">
        <v>0</v>
      </c>
      <c r="M31" s="370">
        <v>0</v>
      </c>
      <c r="N31" s="370">
        <v>1316.23</v>
      </c>
    </row>
    <row r="32" spans="1:16" x14ac:dyDescent="0.25">
      <c r="D32" s="345"/>
      <c r="E32" s="345"/>
      <c r="F32" s="345"/>
      <c r="H32" s="336" t="s">
        <v>375</v>
      </c>
      <c r="I32" s="336" t="s">
        <v>43</v>
      </c>
      <c r="J32" s="336" t="s">
        <v>183</v>
      </c>
      <c r="K32" s="336" t="s">
        <v>363</v>
      </c>
      <c r="L32" s="370">
        <v>0</v>
      </c>
      <c r="M32" s="370">
        <v>0</v>
      </c>
      <c r="N32" s="370">
        <v>0</v>
      </c>
    </row>
    <row r="33" spans="8:14" x14ac:dyDescent="0.25">
      <c r="H33" s="336" t="s">
        <v>375</v>
      </c>
      <c r="I33" s="336" t="s">
        <v>43</v>
      </c>
      <c r="J33" s="336" t="s">
        <v>183</v>
      </c>
      <c r="K33" s="336" t="s">
        <v>364</v>
      </c>
      <c r="L33" s="370">
        <v>387.32</v>
      </c>
      <c r="M33" s="370">
        <v>0</v>
      </c>
      <c r="N33" s="370">
        <v>763.8</v>
      </c>
    </row>
    <row r="34" spans="8:14" x14ac:dyDescent="0.25">
      <c r="H34" s="336" t="s">
        <v>375</v>
      </c>
      <c r="I34" s="336" t="s">
        <v>43</v>
      </c>
      <c r="J34" s="336" t="s">
        <v>183</v>
      </c>
      <c r="K34" s="336" t="s">
        <v>365</v>
      </c>
      <c r="L34" s="370">
        <v>410.81</v>
      </c>
      <c r="M34" s="370">
        <v>0</v>
      </c>
      <c r="N34" s="370">
        <v>1277.8499999999999</v>
      </c>
    </row>
    <row r="35" spans="8:14" x14ac:dyDescent="0.25">
      <c r="H35" s="336" t="s">
        <v>375</v>
      </c>
      <c r="I35" s="336" t="s">
        <v>45</v>
      </c>
      <c r="J35" s="336" t="s">
        <v>183</v>
      </c>
      <c r="K35" s="336" t="s">
        <v>363</v>
      </c>
      <c r="L35" s="370">
        <v>344.74</v>
      </c>
      <c r="M35" s="370">
        <v>2559.9</v>
      </c>
      <c r="N35" s="370">
        <v>1938.35</v>
      </c>
    </row>
    <row r="36" spans="8:14" x14ac:dyDescent="0.25">
      <c r="H36" s="336" t="s">
        <v>375</v>
      </c>
      <c r="I36" s="336" t="s">
        <v>45</v>
      </c>
      <c r="J36" s="336" t="s">
        <v>183</v>
      </c>
      <c r="K36" s="336" t="s">
        <v>364</v>
      </c>
      <c r="L36" s="370">
        <v>1419.69</v>
      </c>
      <c r="M36" s="370">
        <v>0</v>
      </c>
      <c r="N36" s="370">
        <v>13123.35</v>
      </c>
    </row>
    <row r="37" spans="8:14" x14ac:dyDescent="0.25">
      <c r="H37" s="336" t="s">
        <v>375</v>
      </c>
      <c r="I37" s="336" t="s">
        <v>45</v>
      </c>
      <c r="J37" s="336" t="s">
        <v>183</v>
      </c>
      <c r="K37" s="336" t="s">
        <v>365</v>
      </c>
      <c r="L37" s="370">
        <v>424.62</v>
      </c>
      <c r="M37" s="370">
        <v>0</v>
      </c>
      <c r="N37" s="370">
        <v>256.26</v>
      </c>
    </row>
    <row r="38" spans="8:14" x14ac:dyDescent="0.25">
      <c r="H38" s="336" t="s">
        <v>375</v>
      </c>
      <c r="I38" s="336" t="s">
        <v>46</v>
      </c>
      <c r="J38" s="336" t="s">
        <v>52</v>
      </c>
      <c r="K38" s="336" t="s">
        <v>178</v>
      </c>
      <c r="L38" s="370">
        <v>0</v>
      </c>
      <c r="M38" s="370">
        <v>259.97000000000003</v>
      </c>
      <c r="N38" s="370">
        <v>4355.8100000000004</v>
      </c>
    </row>
    <row r="39" spans="8:14" x14ac:dyDescent="0.25">
      <c r="H39" s="336" t="s">
        <v>375</v>
      </c>
      <c r="I39" s="336" t="s">
        <v>46</v>
      </c>
      <c r="J39" s="336" t="s">
        <v>183</v>
      </c>
      <c r="K39" s="336" t="s">
        <v>363</v>
      </c>
      <c r="L39" s="370">
        <v>0</v>
      </c>
      <c r="M39" s="370">
        <v>0</v>
      </c>
      <c r="N39" s="370">
        <v>581.95000000000005</v>
      </c>
    </row>
    <row r="40" spans="8:14" x14ac:dyDescent="0.25">
      <c r="H40" s="336" t="s">
        <v>375</v>
      </c>
      <c r="I40" s="336" t="s">
        <v>46</v>
      </c>
      <c r="J40" s="336" t="s">
        <v>183</v>
      </c>
      <c r="K40" s="336" t="s">
        <v>364</v>
      </c>
      <c r="L40" s="370">
        <v>230.46</v>
      </c>
      <c r="M40" s="370">
        <v>424.2</v>
      </c>
      <c r="N40" s="370">
        <v>1816.5</v>
      </c>
    </row>
    <row r="41" spans="8:14" x14ac:dyDescent="0.25">
      <c r="H41" s="336" t="s">
        <v>375</v>
      </c>
      <c r="I41" s="336" t="s">
        <v>46</v>
      </c>
      <c r="J41" s="336" t="s">
        <v>183</v>
      </c>
      <c r="K41" s="336" t="s">
        <v>365</v>
      </c>
      <c r="L41" s="370">
        <v>0</v>
      </c>
      <c r="M41" s="370">
        <v>563.80999999999995</v>
      </c>
      <c r="N41" s="370">
        <v>3096.32</v>
      </c>
    </row>
    <row r="42" spans="8:14" x14ac:dyDescent="0.25">
      <c r="H42" s="336" t="s">
        <v>375</v>
      </c>
      <c r="I42" s="336" t="s">
        <v>50</v>
      </c>
      <c r="J42" s="336" t="s">
        <v>52</v>
      </c>
      <c r="K42" s="336" t="s">
        <v>178</v>
      </c>
      <c r="L42" s="370">
        <v>1577.16</v>
      </c>
      <c r="M42" s="370">
        <v>228.15</v>
      </c>
      <c r="N42" s="370">
        <v>3474.01</v>
      </c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P46"/>
  <sheetViews>
    <sheetView zoomScale="80" zoomScaleNormal="8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375</v>
      </c>
      <c r="B8" s="340" t="s">
        <v>38</v>
      </c>
      <c r="C8" s="340" t="s">
        <v>3</v>
      </c>
      <c r="D8" s="342">
        <v>359.41</v>
      </c>
      <c r="E8" s="342">
        <v>0</v>
      </c>
      <c r="F8" s="342">
        <v>6480.71</v>
      </c>
      <c r="H8" s="343" t="s">
        <v>375</v>
      </c>
      <c r="I8" s="343" t="s">
        <v>21</v>
      </c>
      <c r="J8" s="343" t="s">
        <v>52</v>
      </c>
      <c r="K8" s="343" t="s">
        <v>209</v>
      </c>
      <c r="L8" s="344">
        <v>223.24</v>
      </c>
      <c r="M8" s="344">
        <v>923.73</v>
      </c>
      <c r="N8" s="344">
        <v>57756.52</v>
      </c>
    </row>
    <row r="9" spans="1:16" x14ac:dyDescent="0.25">
      <c r="A9" s="340" t="s">
        <v>375</v>
      </c>
      <c r="B9" s="340" t="s">
        <v>38</v>
      </c>
      <c r="C9" s="340" t="s">
        <v>323</v>
      </c>
      <c r="D9" s="342">
        <v>504.21</v>
      </c>
      <c r="E9" s="342">
        <v>485.55</v>
      </c>
      <c r="F9" s="342">
        <v>234.83</v>
      </c>
      <c r="H9" s="343" t="s">
        <v>375</v>
      </c>
      <c r="I9" s="343" t="s">
        <v>21</v>
      </c>
      <c r="J9" s="343" t="s">
        <v>52</v>
      </c>
      <c r="K9" s="343" t="s">
        <v>178</v>
      </c>
      <c r="L9" s="344">
        <v>4296.57</v>
      </c>
      <c r="M9" s="344">
        <v>10675.87</v>
      </c>
      <c r="N9" s="344">
        <v>95908.35</v>
      </c>
    </row>
    <row r="10" spans="1:16" x14ac:dyDescent="0.25">
      <c r="A10" s="340" t="s">
        <v>375</v>
      </c>
      <c r="B10" s="340" t="s">
        <v>38</v>
      </c>
      <c r="C10" s="340" t="s">
        <v>41</v>
      </c>
      <c r="D10" s="342">
        <v>50949.120000000003</v>
      </c>
      <c r="E10" s="342">
        <v>96757.07</v>
      </c>
      <c r="F10" s="342">
        <v>708457.71</v>
      </c>
      <c r="H10" s="343" t="s">
        <v>375</v>
      </c>
      <c r="I10" s="343" t="s">
        <v>21</v>
      </c>
      <c r="J10" s="343" t="s">
        <v>52</v>
      </c>
      <c r="K10" s="343" t="s">
        <v>332</v>
      </c>
      <c r="L10" s="344">
        <v>1337.22</v>
      </c>
      <c r="M10" s="344">
        <v>1638.75</v>
      </c>
      <c r="N10" s="344">
        <v>26359.86</v>
      </c>
    </row>
    <row r="11" spans="1:16" x14ac:dyDescent="0.25">
      <c r="A11" s="340" t="s">
        <v>375</v>
      </c>
      <c r="B11" s="340" t="s">
        <v>39</v>
      </c>
      <c r="C11" s="340" t="s">
        <v>41</v>
      </c>
      <c r="D11" s="342">
        <v>15857.68</v>
      </c>
      <c r="E11" s="342">
        <v>29639.599999999999</v>
      </c>
      <c r="F11" s="342">
        <v>112655.3</v>
      </c>
      <c r="H11" s="343" t="s">
        <v>375</v>
      </c>
      <c r="I11" s="343" t="s">
        <v>21</v>
      </c>
      <c r="J11" s="343" t="s">
        <v>52</v>
      </c>
      <c r="K11" s="343" t="s">
        <v>210</v>
      </c>
      <c r="L11" s="344">
        <v>1815.91</v>
      </c>
      <c r="M11" s="344">
        <v>622.12</v>
      </c>
      <c r="N11" s="344">
        <v>52258.29</v>
      </c>
    </row>
    <row r="12" spans="1:16" x14ac:dyDescent="0.25">
      <c r="H12" s="343" t="s">
        <v>375</v>
      </c>
      <c r="I12" s="343" t="s">
        <v>21</v>
      </c>
      <c r="J12" s="343" t="s">
        <v>52</v>
      </c>
      <c r="K12" s="343" t="s">
        <v>72</v>
      </c>
      <c r="L12" s="344">
        <v>2317.9299999999998</v>
      </c>
      <c r="M12" s="344">
        <v>394.44</v>
      </c>
      <c r="N12" s="344">
        <v>1441.37</v>
      </c>
      <c r="O12" s="346">
        <f>SUM(L8:N12)</f>
        <v>257970.16999999998</v>
      </c>
      <c r="P12" s="347" t="s">
        <v>52</v>
      </c>
    </row>
    <row r="13" spans="1:16" x14ac:dyDescent="0.25">
      <c r="H13" s="348" t="s">
        <v>375</v>
      </c>
      <c r="I13" s="348" t="s">
        <v>21</v>
      </c>
      <c r="J13" s="348" t="s">
        <v>52</v>
      </c>
      <c r="K13" s="348" t="s">
        <v>240</v>
      </c>
      <c r="L13" s="349">
        <v>520.02</v>
      </c>
      <c r="M13" s="349">
        <v>3537.93</v>
      </c>
      <c r="N13" s="349">
        <v>97572.62</v>
      </c>
      <c r="O13" s="350">
        <f>SUM(L13:N13)</f>
        <v>101630.56999999999</v>
      </c>
      <c r="P13" s="351" t="s">
        <v>254</v>
      </c>
    </row>
    <row r="14" spans="1:16" x14ac:dyDescent="0.25">
      <c r="H14" s="352" t="s">
        <v>375</v>
      </c>
      <c r="I14" s="352" t="s">
        <v>21</v>
      </c>
      <c r="J14" s="352" t="s">
        <v>55</v>
      </c>
      <c r="K14" s="352" t="s">
        <v>182</v>
      </c>
      <c r="L14" s="353">
        <v>0</v>
      </c>
      <c r="M14" s="353">
        <v>573.73</v>
      </c>
      <c r="N14" s="353">
        <v>2184.31</v>
      </c>
    </row>
    <row r="15" spans="1:16" x14ac:dyDescent="0.25">
      <c r="H15" s="352" t="s">
        <v>375</v>
      </c>
      <c r="I15" s="352" t="s">
        <v>21</v>
      </c>
      <c r="J15" s="352" t="s">
        <v>55</v>
      </c>
      <c r="K15" s="352" t="s">
        <v>54</v>
      </c>
      <c r="L15" s="353">
        <v>114.11</v>
      </c>
      <c r="M15" s="353">
        <v>1158.9000000000001</v>
      </c>
      <c r="N15" s="353">
        <v>3968.48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375</v>
      </c>
      <c r="I16" s="352" t="s">
        <v>21</v>
      </c>
      <c r="J16" s="352" t="s">
        <v>55</v>
      </c>
      <c r="K16" s="352" t="s">
        <v>66</v>
      </c>
      <c r="L16" s="353">
        <v>0</v>
      </c>
      <c r="M16" s="353">
        <v>0</v>
      </c>
      <c r="N16" s="353">
        <v>2187.5700000000002</v>
      </c>
    </row>
    <row r="17" spans="1:16" x14ac:dyDescent="0.25">
      <c r="A17" s="336" t="s">
        <v>38</v>
      </c>
      <c r="B17" s="415">
        <f>SUM(D10:F10)</f>
        <v>856163.89999999991</v>
      </c>
      <c r="D17" s="502" t="s">
        <v>81</v>
      </c>
      <c r="E17" s="502"/>
      <c r="F17" s="360">
        <f>O12/B21</f>
        <v>0.25232288360078298</v>
      </c>
      <c r="H17" s="352" t="s">
        <v>375</v>
      </c>
      <c r="I17" s="352" t="s">
        <v>21</v>
      </c>
      <c r="J17" s="352" t="s">
        <v>55</v>
      </c>
      <c r="K17" s="352" t="s">
        <v>67</v>
      </c>
      <c r="L17" s="353">
        <v>17.190000000000001</v>
      </c>
      <c r="M17" s="353">
        <v>33.81</v>
      </c>
      <c r="N17" s="353">
        <v>15416.88</v>
      </c>
    </row>
    <row r="18" spans="1:16" x14ac:dyDescent="0.25">
      <c r="A18" s="336" t="s">
        <v>39</v>
      </c>
      <c r="B18" s="415">
        <f>SUM(D11:F11)</f>
        <v>158152.58000000002</v>
      </c>
      <c r="D18" s="481" t="s">
        <v>253</v>
      </c>
      <c r="E18" s="481"/>
      <c r="F18" s="360">
        <f>O13/B21</f>
        <v>9.9405750999781203E-2</v>
      </c>
      <c r="H18" s="352" t="s">
        <v>375</v>
      </c>
      <c r="I18" s="352" t="s">
        <v>21</v>
      </c>
      <c r="J18" s="352" t="s">
        <v>55</v>
      </c>
      <c r="K18" s="352" t="s">
        <v>68</v>
      </c>
      <c r="L18" s="353">
        <v>0</v>
      </c>
      <c r="M18" s="353">
        <v>0</v>
      </c>
      <c r="N18" s="353">
        <v>6408.89</v>
      </c>
    </row>
    <row r="19" spans="1:16" x14ac:dyDescent="0.25">
      <c r="A19" s="336" t="s">
        <v>2</v>
      </c>
      <c r="B19" s="415">
        <f>SUM(D9:F9)</f>
        <v>1224.5899999999999</v>
      </c>
      <c r="D19" s="336" t="s">
        <v>78</v>
      </c>
      <c r="F19" s="360">
        <f>O23/B21</f>
        <v>8.8305722839051831E-2</v>
      </c>
      <c r="H19" s="352" t="s">
        <v>375</v>
      </c>
      <c r="I19" s="352" t="s">
        <v>21</v>
      </c>
      <c r="J19" s="352" t="s">
        <v>55</v>
      </c>
      <c r="K19" s="352" t="s">
        <v>69</v>
      </c>
      <c r="L19" s="353">
        <v>0</v>
      </c>
      <c r="M19" s="353">
        <v>1651.22</v>
      </c>
      <c r="N19" s="353">
        <v>5943.14</v>
      </c>
    </row>
    <row r="20" spans="1:16" x14ac:dyDescent="0.25">
      <c r="A20" s="336" t="s">
        <v>3</v>
      </c>
      <c r="B20" s="415">
        <f>SUM(D8:F8)</f>
        <v>6840.12</v>
      </c>
      <c r="D20" s="481" t="s">
        <v>42</v>
      </c>
      <c r="E20" s="481"/>
      <c r="F20" s="360">
        <f>O27/B21</f>
        <v>0.45390200302883121</v>
      </c>
      <c r="H20" s="352" t="s">
        <v>375</v>
      </c>
      <c r="I20" s="352" t="s">
        <v>21</v>
      </c>
      <c r="J20" s="352" t="s">
        <v>55</v>
      </c>
      <c r="K20" s="352" t="s">
        <v>72</v>
      </c>
      <c r="L20" s="353">
        <v>1702.73</v>
      </c>
      <c r="M20" s="353">
        <v>2169.9699999999998</v>
      </c>
      <c r="N20" s="353">
        <v>32502.38</v>
      </c>
    </row>
    <row r="21" spans="1:16" ht="15.75" thickBot="1" x14ac:dyDescent="0.3">
      <c r="A21" s="361"/>
      <c r="B21" s="416">
        <f>SUM(B17:B20)</f>
        <v>1022381.19</v>
      </c>
      <c r="F21" s="363">
        <f>SUM(F17:F20)</f>
        <v>0.89393636046844727</v>
      </c>
      <c r="H21" s="352" t="s">
        <v>375</v>
      </c>
      <c r="I21" s="352" t="s">
        <v>21</v>
      </c>
      <c r="J21" s="352" t="s">
        <v>183</v>
      </c>
      <c r="K21" s="352" t="s">
        <v>360</v>
      </c>
      <c r="L21" s="353">
        <v>1740.23</v>
      </c>
      <c r="M21" s="353">
        <v>726.92</v>
      </c>
      <c r="N21" s="353">
        <v>7897.82</v>
      </c>
    </row>
    <row r="22" spans="1:16" x14ac:dyDescent="0.25">
      <c r="E22" s="390" t="s">
        <v>356</v>
      </c>
      <c r="F22" s="417">
        <v>252</v>
      </c>
      <c r="H22" s="352" t="s">
        <v>375</v>
      </c>
      <c r="I22" s="352" t="s">
        <v>21</v>
      </c>
      <c r="J22" s="352" t="s">
        <v>183</v>
      </c>
      <c r="K22" s="352" t="s">
        <v>363</v>
      </c>
      <c r="L22" s="353">
        <v>720.29</v>
      </c>
      <c r="M22" s="353">
        <v>0</v>
      </c>
      <c r="N22" s="353">
        <v>1818.29</v>
      </c>
    </row>
    <row r="23" spans="1:16" x14ac:dyDescent="0.25">
      <c r="E23" s="390"/>
      <c r="F23" s="417"/>
      <c r="H23" s="352" t="s">
        <v>375</v>
      </c>
      <c r="I23" s="352" t="s">
        <v>21</v>
      </c>
      <c r="J23" s="352" t="s">
        <v>183</v>
      </c>
      <c r="K23" s="352" t="s">
        <v>364</v>
      </c>
      <c r="L23" s="353">
        <v>0</v>
      </c>
      <c r="M23" s="353">
        <v>0</v>
      </c>
      <c r="N23" s="353">
        <v>1345.25</v>
      </c>
      <c r="O23" s="364">
        <f>SUM(L14:N23)</f>
        <v>90282.109999999986</v>
      </c>
      <c r="P23" s="365" t="s">
        <v>110</v>
      </c>
    </row>
    <row r="24" spans="1:16" x14ac:dyDescent="0.25">
      <c r="H24" s="366" t="s">
        <v>375</v>
      </c>
      <c r="I24" s="366" t="s">
        <v>43</v>
      </c>
      <c r="J24" s="366" t="s">
        <v>21</v>
      </c>
      <c r="K24" s="366" t="s">
        <v>21</v>
      </c>
      <c r="L24" s="367">
        <v>11177.56</v>
      </c>
      <c r="M24" s="367">
        <v>37934.629999999997</v>
      </c>
      <c r="N24" s="367">
        <v>166862.03</v>
      </c>
    </row>
    <row r="25" spans="1:16" x14ac:dyDescent="0.25">
      <c r="H25" s="366" t="s">
        <v>375</v>
      </c>
      <c r="I25" s="366" t="s">
        <v>45</v>
      </c>
      <c r="J25" s="366" t="s">
        <v>21</v>
      </c>
      <c r="K25" s="366" t="s">
        <v>21</v>
      </c>
      <c r="L25" s="367">
        <v>14965.56</v>
      </c>
      <c r="M25" s="367">
        <v>29418.09</v>
      </c>
      <c r="N25" s="367">
        <v>113885.55</v>
      </c>
    </row>
    <row r="26" spans="1:16" x14ac:dyDescent="0.25">
      <c r="B26" s="414"/>
      <c r="H26" s="366" t="s">
        <v>375</v>
      </c>
      <c r="I26" s="366" t="s">
        <v>46</v>
      </c>
      <c r="J26" s="366" t="s">
        <v>21</v>
      </c>
      <c r="K26" s="366" t="s">
        <v>21</v>
      </c>
      <c r="L26" s="367">
        <v>7687.15</v>
      </c>
      <c r="M26" s="367">
        <v>6308.71</v>
      </c>
      <c r="N26" s="367">
        <v>42868.58</v>
      </c>
    </row>
    <row r="27" spans="1:16" x14ac:dyDescent="0.25">
      <c r="H27" s="366" t="s">
        <v>375</v>
      </c>
      <c r="I27" s="366" t="s">
        <v>50</v>
      </c>
      <c r="J27" s="366" t="s">
        <v>21</v>
      </c>
      <c r="K27" s="366" t="s">
        <v>21</v>
      </c>
      <c r="L27" s="367">
        <v>4473.03</v>
      </c>
      <c r="M27" s="367">
        <v>6915.05</v>
      </c>
      <c r="N27" s="367">
        <v>21564.93</v>
      </c>
      <c r="O27" s="368">
        <f>SUM(L24:N27)</f>
        <v>464060.87000000005</v>
      </c>
      <c r="P27" s="369" t="s">
        <v>369</v>
      </c>
    </row>
    <row r="28" spans="1:16" x14ac:dyDescent="0.25">
      <c r="H28" s="336" t="s">
        <v>375</v>
      </c>
      <c r="I28" s="336" t="s">
        <v>21</v>
      </c>
      <c r="J28" s="336" t="s">
        <v>21</v>
      </c>
      <c r="K28" s="336" t="s">
        <v>21</v>
      </c>
      <c r="L28" s="370">
        <v>12872.17</v>
      </c>
      <c r="M28" s="370">
        <v>12794.94</v>
      </c>
      <c r="N28" s="370">
        <v>28748.560000000001</v>
      </c>
    </row>
    <row r="29" spans="1:16" x14ac:dyDescent="0.25">
      <c r="H29" s="336" t="s">
        <v>375</v>
      </c>
      <c r="I29" s="336" t="s">
        <v>21</v>
      </c>
      <c r="J29" s="336" t="s">
        <v>367</v>
      </c>
      <c r="K29" s="336" t="s">
        <v>368</v>
      </c>
      <c r="L29" s="370">
        <v>0</v>
      </c>
      <c r="M29" s="370">
        <v>0</v>
      </c>
      <c r="N29" s="370">
        <v>0</v>
      </c>
    </row>
    <row r="30" spans="1:16" x14ac:dyDescent="0.25">
      <c r="H30" s="336" t="s">
        <v>375</v>
      </c>
      <c r="I30" s="336" t="s">
        <v>43</v>
      </c>
      <c r="J30" s="336" t="s">
        <v>52</v>
      </c>
      <c r="K30" s="336" t="s">
        <v>178</v>
      </c>
      <c r="L30" s="370">
        <v>262.08</v>
      </c>
      <c r="M30" s="370">
        <v>0</v>
      </c>
      <c r="N30" s="370">
        <v>1036.42</v>
      </c>
    </row>
    <row r="31" spans="1:16" x14ac:dyDescent="0.25">
      <c r="D31" s="345"/>
      <c r="E31" s="345"/>
      <c r="F31" s="345"/>
      <c r="H31" s="336" t="s">
        <v>375</v>
      </c>
      <c r="I31" s="336" t="s">
        <v>43</v>
      </c>
      <c r="J31" s="336" t="s">
        <v>55</v>
      </c>
      <c r="K31" s="336" t="s">
        <v>54</v>
      </c>
      <c r="L31" s="370">
        <v>0</v>
      </c>
      <c r="M31" s="370">
        <v>0</v>
      </c>
      <c r="N31" s="370">
        <v>2487.12</v>
      </c>
    </row>
    <row r="32" spans="1:16" x14ac:dyDescent="0.25">
      <c r="D32" s="345"/>
      <c r="E32" s="345"/>
      <c r="F32" s="345"/>
      <c r="H32" s="336" t="s">
        <v>375</v>
      </c>
      <c r="I32" s="336" t="s">
        <v>43</v>
      </c>
      <c r="J32" s="336" t="s">
        <v>55</v>
      </c>
      <c r="K32" s="336" t="s">
        <v>67</v>
      </c>
      <c r="L32" s="370">
        <v>0</v>
      </c>
      <c r="M32" s="370">
        <v>0</v>
      </c>
      <c r="N32" s="370">
        <v>1060.22</v>
      </c>
    </row>
    <row r="33" spans="8:14" x14ac:dyDescent="0.25">
      <c r="H33" s="336" t="s">
        <v>375</v>
      </c>
      <c r="I33" s="336" t="s">
        <v>43</v>
      </c>
      <c r="J33" s="336" t="s">
        <v>55</v>
      </c>
      <c r="K33" s="336" t="s">
        <v>72</v>
      </c>
      <c r="L33" s="370">
        <v>0</v>
      </c>
      <c r="M33" s="370">
        <v>0</v>
      </c>
      <c r="N33" s="370">
        <v>74.41</v>
      </c>
    </row>
    <row r="34" spans="8:14" x14ac:dyDescent="0.25">
      <c r="H34" s="336" t="s">
        <v>375</v>
      </c>
      <c r="I34" s="336" t="s">
        <v>43</v>
      </c>
      <c r="J34" s="336" t="s">
        <v>183</v>
      </c>
      <c r="K34" s="336" t="s">
        <v>360</v>
      </c>
      <c r="L34" s="370">
        <v>0</v>
      </c>
      <c r="M34" s="370">
        <v>177.5</v>
      </c>
      <c r="N34" s="370">
        <v>313.74</v>
      </c>
    </row>
    <row r="35" spans="8:14" x14ac:dyDescent="0.25">
      <c r="H35" s="336" t="s">
        <v>375</v>
      </c>
      <c r="I35" s="336" t="s">
        <v>43</v>
      </c>
      <c r="J35" s="336" t="s">
        <v>183</v>
      </c>
      <c r="K35" s="336" t="s">
        <v>363</v>
      </c>
      <c r="L35" s="370">
        <v>0</v>
      </c>
      <c r="M35" s="370">
        <v>0</v>
      </c>
      <c r="N35" s="370">
        <v>1110.47</v>
      </c>
    </row>
    <row r="36" spans="8:14" x14ac:dyDescent="0.25">
      <c r="H36" s="336" t="s">
        <v>375</v>
      </c>
      <c r="I36" s="336" t="s">
        <v>43</v>
      </c>
      <c r="J36" s="336" t="s">
        <v>183</v>
      </c>
      <c r="K36" s="336" t="s">
        <v>364</v>
      </c>
      <c r="L36" s="370">
        <v>65.84</v>
      </c>
      <c r="M36" s="370">
        <v>256.06</v>
      </c>
      <c r="N36" s="370">
        <v>3498.35</v>
      </c>
    </row>
    <row r="37" spans="8:14" x14ac:dyDescent="0.25">
      <c r="H37" s="336" t="s">
        <v>375</v>
      </c>
      <c r="I37" s="336" t="s">
        <v>45</v>
      </c>
      <c r="J37" s="336" t="s">
        <v>183</v>
      </c>
      <c r="K37" s="336" t="s">
        <v>360</v>
      </c>
      <c r="L37" s="370">
        <v>355.93</v>
      </c>
      <c r="M37" s="370">
        <v>6603.26</v>
      </c>
      <c r="N37" s="370">
        <v>13310.65</v>
      </c>
    </row>
    <row r="38" spans="8:14" x14ac:dyDescent="0.25">
      <c r="H38" s="336" t="s">
        <v>375</v>
      </c>
      <c r="I38" s="336" t="s">
        <v>45</v>
      </c>
      <c r="J38" s="336" t="s">
        <v>183</v>
      </c>
      <c r="K38" s="336" t="s">
        <v>363</v>
      </c>
      <c r="L38" s="370">
        <v>0</v>
      </c>
      <c r="M38" s="370">
        <v>0</v>
      </c>
      <c r="N38" s="370">
        <v>2413.71</v>
      </c>
    </row>
    <row r="39" spans="8:14" x14ac:dyDescent="0.25">
      <c r="H39" s="336" t="s">
        <v>375</v>
      </c>
      <c r="I39" s="336" t="s">
        <v>45</v>
      </c>
      <c r="J39" s="336" t="s">
        <v>183</v>
      </c>
      <c r="K39" s="336" t="s">
        <v>364</v>
      </c>
      <c r="L39" s="370">
        <v>0</v>
      </c>
      <c r="M39" s="370">
        <v>710.38</v>
      </c>
      <c r="N39" s="370">
        <v>5669.93</v>
      </c>
    </row>
    <row r="40" spans="8:14" x14ac:dyDescent="0.25">
      <c r="H40" s="336" t="s">
        <v>375</v>
      </c>
      <c r="I40" s="336" t="s">
        <v>46</v>
      </c>
      <c r="J40" s="336" t="s">
        <v>52</v>
      </c>
      <c r="K40" s="336" t="s">
        <v>178</v>
      </c>
      <c r="L40" s="370">
        <v>0</v>
      </c>
      <c r="M40" s="370">
        <v>326.41000000000003</v>
      </c>
      <c r="N40" s="370">
        <v>2173.89</v>
      </c>
    </row>
    <row r="41" spans="8:14" x14ac:dyDescent="0.25">
      <c r="H41" s="336" t="s">
        <v>375</v>
      </c>
      <c r="I41" s="336" t="s">
        <v>46</v>
      </c>
      <c r="J41" s="336" t="s">
        <v>183</v>
      </c>
      <c r="K41" s="336" t="s">
        <v>360</v>
      </c>
      <c r="L41" s="370">
        <v>441.85</v>
      </c>
      <c r="M41" s="370">
        <v>381.59</v>
      </c>
      <c r="N41" s="370">
        <v>2944.38</v>
      </c>
    </row>
    <row r="42" spans="8:14" x14ac:dyDescent="0.25">
      <c r="H42" s="336" t="s">
        <v>375</v>
      </c>
      <c r="I42" s="336" t="s">
        <v>46</v>
      </c>
      <c r="J42" s="336" t="s">
        <v>183</v>
      </c>
      <c r="K42" s="336" t="s">
        <v>363</v>
      </c>
      <c r="L42" s="370">
        <v>0</v>
      </c>
      <c r="M42" s="370">
        <v>0</v>
      </c>
      <c r="N42" s="370">
        <v>1109.6400000000001</v>
      </c>
    </row>
    <row r="43" spans="8:14" x14ac:dyDescent="0.25">
      <c r="H43" s="336" t="s">
        <v>375</v>
      </c>
      <c r="I43" s="336" t="s">
        <v>46</v>
      </c>
      <c r="J43" s="336" t="s">
        <v>183</v>
      </c>
      <c r="K43" s="336" t="s">
        <v>364</v>
      </c>
      <c r="L43" s="370">
        <v>563.80999999999995</v>
      </c>
      <c r="M43" s="370">
        <v>837.26</v>
      </c>
      <c r="N43" s="370">
        <v>5343.04</v>
      </c>
    </row>
    <row r="44" spans="8:14" x14ac:dyDescent="0.25">
      <c r="H44" s="336" t="s">
        <v>375</v>
      </c>
      <c r="I44" s="336" t="s">
        <v>50</v>
      </c>
      <c r="J44" s="336" t="s">
        <v>52</v>
      </c>
      <c r="K44" s="336" t="s">
        <v>178</v>
      </c>
      <c r="L44" s="370">
        <v>0</v>
      </c>
      <c r="M44" s="370">
        <v>0</v>
      </c>
      <c r="N44" s="370">
        <v>382.91</v>
      </c>
    </row>
    <row r="45" spans="8:14" x14ac:dyDescent="0.25">
      <c r="H45" s="336" t="s">
        <v>375</v>
      </c>
      <c r="I45" s="336" t="s">
        <v>50</v>
      </c>
      <c r="J45" s="336" t="s">
        <v>55</v>
      </c>
      <c r="K45" s="336" t="s">
        <v>54</v>
      </c>
      <c r="L45" s="370">
        <v>0</v>
      </c>
      <c r="M45" s="370">
        <v>0</v>
      </c>
      <c r="N45" s="370">
        <v>0</v>
      </c>
    </row>
    <row r="46" spans="8:14" x14ac:dyDescent="0.25">
      <c r="H46" s="336" t="s">
        <v>375</v>
      </c>
      <c r="I46" s="336" t="s">
        <v>50</v>
      </c>
      <c r="J46" s="336" t="s">
        <v>55</v>
      </c>
      <c r="K46" s="336" t="s">
        <v>72</v>
      </c>
      <c r="L46" s="370">
        <v>0</v>
      </c>
      <c r="M46" s="370">
        <v>110.95</v>
      </c>
      <c r="N46" s="370">
        <v>0</v>
      </c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P46"/>
  <sheetViews>
    <sheetView zoomScale="80" zoomScaleNormal="8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366</v>
      </c>
      <c r="B8" s="340" t="s">
        <v>38</v>
      </c>
      <c r="C8" s="340" t="s">
        <v>3</v>
      </c>
      <c r="D8" s="342">
        <v>0</v>
      </c>
      <c r="E8" s="342">
        <v>0</v>
      </c>
      <c r="F8" s="342">
        <v>6573.63</v>
      </c>
      <c r="H8" s="343" t="s">
        <v>366</v>
      </c>
      <c r="I8" s="343" t="s">
        <v>21</v>
      </c>
      <c r="J8" s="343" t="s">
        <v>52</v>
      </c>
      <c r="K8" s="343" t="s">
        <v>209</v>
      </c>
      <c r="L8" s="344">
        <v>6606.56</v>
      </c>
      <c r="M8" s="344">
        <v>959.57</v>
      </c>
      <c r="N8" s="344">
        <v>107419.35</v>
      </c>
    </row>
    <row r="9" spans="1:16" x14ac:dyDescent="0.25">
      <c r="A9" s="340" t="s">
        <v>366</v>
      </c>
      <c r="B9" s="340" t="s">
        <v>38</v>
      </c>
      <c r="C9" s="340" t="s">
        <v>323</v>
      </c>
      <c r="D9" s="342">
        <v>3033.57</v>
      </c>
      <c r="E9" s="342">
        <v>233.37</v>
      </c>
      <c r="F9" s="342">
        <v>51.94</v>
      </c>
      <c r="H9" s="343" t="s">
        <v>366</v>
      </c>
      <c r="I9" s="343" t="s">
        <v>21</v>
      </c>
      <c r="J9" s="343" t="s">
        <v>52</v>
      </c>
      <c r="K9" s="343" t="s">
        <v>178</v>
      </c>
      <c r="L9" s="344">
        <v>9986.82</v>
      </c>
      <c r="M9" s="344">
        <v>9119.64</v>
      </c>
      <c r="N9" s="344">
        <v>68965.34</v>
      </c>
    </row>
    <row r="10" spans="1:16" x14ac:dyDescent="0.25">
      <c r="A10" s="340" t="s">
        <v>366</v>
      </c>
      <c r="B10" s="340" t="s">
        <v>38</v>
      </c>
      <c r="C10" s="340" t="s">
        <v>41</v>
      </c>
      <c r="D10" s="342">
        <v>130758.81</v>
      </c>
      <c r="E10" s="342">
        <v>170548.39</v>
      </c>
      <c r="F10" s="342">
        <v>713750.58</v>
      </c>
      <c r="H10" s="343" t="s">
        <v>366</v>
      </c>
      <c r="I10" s="343" t="s">
        <v>21</v>
      </c>
      <c r="J10" s="343" t="s">
        <v>52</v>
      </c>
      <c r="K10" s="343" t="s">
        <v>332</v>
      </c>
      <c r="L10" s="344">
        <v>1841.82</v>
      </c>
      <c r="M10" s="344">
        <v>1134.3399999999999</v>
      </c>
      <c r="N10" s="344">
        <v>19702.13</v>
      </c>
    </row>
    <row r="11" spans="1:16" x14ac:dyDescent="0.25">
      <c r="A11" s="340" t="s">
        <v>366</v>
      </c>
      <c r="B11" s="340" t="s">
        <v>39</v>
      </c>
      <c r="C11" s="340" t="s">
        <v>41</v>
      </c>
      <c r="D11" s="342">
        <v>38619.81</v>
      </c>
      <c r="E11" s="342">
        <v>33173.879999999997</v>
      </c>
      <c r="F11" s="342">
        <v>119398.63</v>
      </c>
      <c r="H11" s="343" t="s">
        <v>366</v>
      </c>
      <c r="I11" s="343" t="s">
        <v>21</v>
      </c>
      <c r="J11" s="343" t="s">
        <v>52</v>
      </c>
      <c r="K11" s="343" t="s">
        <v>210</v>
      </c>
      <c r="L11" s="344">
        <v>622.12</v>
      </c>
      <c r="M11" s="344">
        <v>1746.72</v>
      </c>
      <c r="N11" s="344">
        <v>40328.43</v>
      </c>
    </row>
    <row r="12" spans="1:16" x14ac:dyDescent="0.25">
      <c r="H12" s="343" t="s">
        <v>366</v>
      </c>
      <c r="I12" s="343" t="s">
        <v>21</v>
      </c>
      <c r="J12" s="343" t="s">
        <v>52</v>
      </c>
      <c r="K12" s="343" t="s">
        <v>72</v>
      </c>
      <c r="L12" s="344">
        <v>3114.66</v>
      </c>
      <c r="M12" s="344">
        <v>5173.57</v>
      </c>
      <c r="N12" s="344">
        <v>8266.7199999999993</v>
      </c>
      <c r="O12" s="346">
        <f>SUM(L8:N12)</f>
        <v>284987.78999999998</v>
      </c>
      <c r="P12" s="347" t="s">
        <v>52</v>
      </c>
    </row>
    <row r="13" spans="1:16" x14ac:dyDescent="0.25">
      <c r="H13" s="348" t="s">
        <v>366</v>
      </c>
      <c r="I13" s="348" t="s">
        <v>21</v>
      </c>
      <c r="J13" s="348" t="s">
        <v>52</v>
      </c>
      <c r="K13" s="348" t="s">
        <v>240</v>
      </c>
      <c r="L13" s="349">
        <v>4907.3900000000003</v>
      </c>
      <c r="M13" s="349">
        <v>4439.21</v>
      </c>
      <c r="N13" s="349">
        <v>80752.649999999994</v>
      </c>
      <c r="O13" s="350">
        <f>SUM(L13:N13)</f>
        <v>90099.25</v>
      </c>
      <c r="P13" s="351" t="s">
        <v>254</v>
      </c>
    </row>
    <row r="14" spans="1:16" x14ac:dyDescent="0.25">
      <c r="H14" s="352" t="s">
        <v>366</v>
      </c>
      <c r="I14" s="352" t="s">
        <v>21</v>
      </c>
      <c r="J14" s="352" t="s">
        <v>367</v>
      </c>
      <c r="K14" s="352" t="s">
        <v>368</v>
      </c>
      <c r="L14" s="353">
        <v>0</v>
      </c>
      <c r="M14" s="353">
        <v>1883.21</v>
      </c>
      <c r="N14" s="353">
        <v>284.88</v>
      </c>
    </row>
    <row r="15" spans="1:16" x14ac:dyDescent="0.25">
      <c r="H15" s="352" t="s">
        <v>366</v>
      </c>
      <c r="I15" s="352" t="s">
        <v>21</v>
      </c>
      <c r="J15" s="352" t="s">
        <v>55</v>
      </c>
      <c r="K15" s="352" t="s">
        <v>182</v>
      </c>
      <c r="L15" s="353">
        <v>0</v>
      </c>
      <c r="M15" s="353">
        <v>1053.94</v>
      </c>
      <c r="N15" s="353">
        <v>2823.9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366</v>
      </c>
      <c r="I16" s="352" t="s">
        <v>21</v>
      </c>
      <c r="J16" s="352" t="s">
        <v>55</v>
      </c>
      <c r="K16" s="352" t="s">
        <v>54</v>
      </c>
      <c r="L16" s="353">
        <v>0</v>
      </c>
      <c r="M16" s="353">
        <v>0</v>
      </c>
      <c r="N16" s="353">
        <v>224.46</v>
      </c>
    </row>
    <row r="17" spans="1:16" x14ac:dyDescent="0.25">
      <c r="A17" s="336" t="s">
        <v>38</v>
      </c>
      <c r="B17" s="415">
        <f>SUM(D10:F10)</f>
        <v>1015057.78</v>
      </c>
      <c r="D17" s="502" t="s">
        <v>81</v>
      </c>
      <c r="E17" s="502"/>
      <c r="F17" s="360">
        <f>O12/B21</f>
        <v>0.23433747626028825</v>
      </c>
      <c r="H17" s="352" t="s">
        <v>366</v>
      </c>
      <c r="I17" s="352" t="s">
        <v>21</v>
      </c>
      <c r="J17" s="352" t="s">
        <v>55</v>
      </c>
      <c r="K17" s="352" t="s">
        <v>66</v>
      </c>
      <c r="L17" s="353">
        <v>718.82</v>
      </c>
      <c r="M17" s="353">
        <v>0</v>
      </c>
      <c r="N17" s="353">
        <v>1372.78</v>
      </c>
    </row>
    <row r="18" spans="1:16" x14ac:dyDescent="0.25">
      <c r="A18" s="336" t="s">
        <v>39</v>
      </c>
      <c r="B18" s="415">
        <f>SUM(D11:F11)</f>
        <v>191192.32000000001</v>
      </c>
      <c r="D18" s="481" t="s">
        <v>253</v>
      </c>
      <c r="E18" s="481"/>
      <c r="F18" s="360">
        <f>O13/B21</f>
        <v>7.4086089295070434E-2</v>
      </c>
      <c r="H18" s="352" t="s">
        <v>366</v>
      </c>
      <c r="I18" s="352" t="s">
        <v>21</v>
      </c>
      <c r="J18" s="352" t="s">
        <v>55</v>
      </c>
      <c r="K18" s="352" t="s">
        <v>67</v>
      </c>
      <c r="L18" s="353">
        <v>4054.88</v>
      </c>
      <c r="M18" s="353">
        <v>1476.54</v>
      </c>
      <c r="N18" s="353">
        <v>17070.16</v>
      </c>
    </row>
    <row r="19" spans="1:16" x14ac:dyDescent="0.25">
      <c r="A19" s="336" t="s">
        <v>2</v>
      </c>
      <c r="B19" s="415">
        <f>SUM(D9:F9)</f>
        <v>3318.88</v>
      </c>
      <c r="D19" s="336" t="s">
        <v>78</v>
      </c>
      <c r="F19" s="360">
        <f>O24/B21</f>
        <v>0.1680935017974578</v>
      </c>
      <c r="H19" s="352" t="s">
        <v>366</v>
      </c>
      <c r="I19" s="352" t="s">
        <v>21</v>
      </c>
      <c r="J19" s="352" t="s">
        <v>55</v>
      </c>
      <c r="K19" s="352" t="s">
        <v>68</v>
      </c>
      <c r="L19" s="353">
        <v>455.42</v>
      </c>
      <c r="M19" s="353">
        <v>995.41</v>
      </c>
      <c r="N19" s="353">
        <v>2357.61</v>
      </c>
    </row>
    <row r="20" spans="1:16" x14ac:dyDescent="0.25">
      <c r="A20" s="336" t="s">
        <v>3</v>
      </c>
      <c r="B20" s="415">
        <f>SUM(D8:F8)</f>
        <v>6573.63</v>
      </c>
      <c r="D20" s="481" t="s">
        <v>42</v>
      </c>
      <c r="E20" s="481"/>
      <c r="F20" s="360">
        <f>O28/B21</f>
        <v>0.43189733315897882</v>
      </c>
      <c r="H20" s="352" t="s">
        <v>366</v>
      </c>
      <c r="I20" s="352" t="s">
        <v>21</v>
      </c>
      <c r="J20" s="352" t="s">
        <v>55</v>
      </c>
      <c r="K20" s="352" t="s">
        <v>72</v>
      </c>
      <c r="L20" s="353">
        <v>9963.19</v>
      </c>
      <c r="M20" s="353">
        <v>32353.42</v>
      </c>
      <c r="N20" s="353">
        <v>107777.05</v>
      </c>
    </row>
    <row r="21" spans="1:16" ht="15.75" thickBot="1" x14ac:dyDescent="0.3">
      <c r="A21" s="361"/>
      <c r="B21" s="416">
        <f>SUM(B17:B20)</f>
        <v>1216142.6099999999</v>
      </c>
      <c r="F21" s="363">
        <f>SUM(F17:F20)</f>
        <v>0.90841440051179534</v>
      </c>
      <c r="H21" s="352" t="s">
        <v>366</v>
      </c>
      <c r="I21" s="352" t="s">
        <v>21</v>
      </c>
      <c r="J21" s="352" t="s">
        <v>183</v>
      </c>
      <c r="K21" s="352" t="s">
        <v>363</v>
      </c>
      <c r="L21" s="353">
        <v>1411.79</v>
      </c>
      <c r="M21" s="353">
        <v>1159.25</v>
      </c>
      <c r="N21" s="353">
        <v>6498.92</v>
      </c>
    </row>
    <row r="22" spans="1:16" x14ac:dyDescent="0.25">
      <c r="E22" s="390" t="s">
        <v>356</v>
      </c>
      <c r="F22" s="417">
        <v>259</v>
      </c>
      <c r="H22" s="352" t="s">
        <v>366</v>
      </c>
      <c r="I22" s="352" t="s">
        <v>21</v>
      </c>
      <c r="J22" s="352" t="s">
        <v>183</v>
      </c>
      <c r="K22" s="352" t="s">
        <v>364</v>
      </c>
      <c r="L22" s="353">
        <v>328.54</v>
      </c>
      <c r="M22" s="353">
        <v>472.55</v>
      </c>
      <c r="N22" s="353">
        <v>2094.98</v>
      </c>
    </row>
    <row r="23" spans="1:16" x14ac:dyDescent="0.25">
      <c r="E23" s="390"/>
      <c r="F23" s="417"/>
      <c r="H23" s="352" t="s">
        <v>366</v>
      </c>
      <c r="I23" s="352" t="s">
        <v>21</v>
      </c>
      <c r="J23" s="352" t="s">
        <v>183</v>
      </c>
      <c r="K23" s="352" t="s">
        <v>365</v>
      </c>
      <c r="L23" s="353">
        <v>0</v>
      </c>
      <c r="M23" s="353">
        <v>123.91</v>
      </c>
      <c r="N23" s="353">
        <v>179.78</v>
      </c>
    </row>
    <row r="24" spans="1:16" x14ac:dyDescent="0.25">
      <c r="H24" s="352" t="s">
        <v>366</v>
      </c>
      <c r="I24" s="352" t="s">
        <v>21</v>
      </c>
      <c r="J24" s="352" t="s">
        <v>183</v>
      </c>
      <c r="K24" s="352" t="s">
        <v>72</v>
      </c>
      <c r="L24" s="353">
        <v>1279.53</v>
      </c>
      <c r="M24" s="353">
        <v>0</v>
      </c>
      <c r="N24" s="353">
        <v>6010.75</v>
      </c>
      <c r="O24" s="364">
        <f>SUM(L14:N24)</f>
        <v>204425.67</v>
      </c>
      <c r="P24" s="365" t="s">
        <v>110</v>
      </c>
    </row>
    <row r="25" spans="1:16" x14ac:dyDescent="0.25">
      <c r="H25" s="366" t="s">
        <v>366</v>
      </c>
      <c r="I25" s="366" t="s">
        <v>43</v>
      </c>
      <c r="J25" s="366" t="s">
        <v>21</v>
      </c>
      <c r="K25" s="366" t="s">
        <v>21</v>
      </c>
      <c r="L25" s="367">
        <v>35792.71</v>
      </c>
      <c r="M25" s="367">
        <v>60389.5</v>
      </c>
      <c r="N25" s="367">
        <v>139597.70000000001</v>
      </c>
    </row>
    <row r="26" spans="1:16" x14ac:dyDescent="0.25">
      <c r="B26" s="414"/>
      <c r="H26" s="366" t="s">
        <v>366</v>
      </c>
      <c r="I26" s="366" t="s">
        <v>45</v>
      </c>
      <c r="J26" s="366" t="s">
        <v>21</v>
      </c>
      <c r="K26" s="366" t="s">
        <v>21</v>
      </c>
      <c r="L26" s="367">
        <v>34853.94</v>
      </c>
      <c r="M26" s="367">
        <v>19827.07</v>
      </c>
      <c r="N26" s="367">
        <v>119690.05</v>
      </c>
    </row>
    <row r="27" spans="1:16" x14ac:dyDescent="0.25">
      <c r="H27" s="366" t="s">
        <v>366</v>
      </c>
      <c r="I27" s="366" t="s">
        <v>46</v>
      </c>
      <c r="J27" s="366" t="s">
        <v>21</v>
      </c>
      <c r="K27" s="366" t="s">
        <v>21</v>
      </c>
      <c r="L27" s="367">
        <v>9313.94</v>
      </c>
      <c r="M27" s="367">
        <v>14888.93</v>
      </c>
      <c r="N27" s="367">
        <v>46777.25</v>
      </c>
    </row>
    <row r="28" spans="1:16" x14ac:dyDescent="0.25">
      <c r="H28" s="366" t="s">
        <v>366</v>
      </c>
      <c r="I28" s="366" t="s">
        <v>50</v>
      </c>
      <c r="J28" s="366" t="s">
        <v>21</v>
      </c>
      <c r="K28" s="366" t="s">
        <v>21</v>
      </c>
      <c r="L28" s="367">
        <v>10116.4</v>
      </c>
      <c r="M28" s="367">
        <v>24772.07</v>
      </c>
      <c r="N28" s="367">
        <v>9229.19</v>
      </c>
      <c r="O28" s="368">
        <f>SUM(L25:N28)</f>
        <v>525248.75</v>
      </c>
      <c r="P28" s="369" t="s">
        <v>373</v>
      </c>
    </row>
    <row r="29" spans="1:16" x14ac:dyDescent="0.25">
      <c r="H29" s="340" t="s">
        <v>366</v>
      </c>
      <c r="I29" s="340" t="s">
        <v>21</v>
      </c>
      <c r="J29" s="340" t="s">
        <v>21</v>
      </c>
      <c r="K29" s="340" t="s">
        <v>21</v>
      </c>
      <c r="L29" s="341">
        <v>17936.009999999998</v>
      </c>
      <c r="M29" s="341">
        <v>12768.61</v>
      </c>
      <c r="N29" s="341">
        <v>19753.759999999998</v>
      </c>
    </row>
    <row r="30" spans="1:16" x14ac:dyDescent="0.25">
      <c r="H30" s="340" t="s">
        <v>366</v>
      </c>
      <c r="I30" s="340" t="s">
        <v>43</v>
      </c>
      <c r="J30" s="340" t="s">
        <v>52</v>
      </c>
      <c r="K30" s="340" t="s">
        <v>178</v>
      </c>
      <c r="L30" s="341">
        <v>344.49</v>
      </c>
      <c r="M30" s="341">
        <v>0</v>
      </c>
      <c r="N30" s="341">
        <v>1916.85</v>
      </c>
    </row>
    <row r="31" spans="1:16" x14ac:dyDescent="0.25">
      <c r="D31" s="345"/>
      <c r="E31" s="345"/>
      <c r="F31" s="345"/>
      <c r="H31" s="340" t="s">
        <v>366</v>
      </c>
      <c r="I31" s="340" t="s">
        <v>43</v>
      </c>
      <c r="J31" s="340" t="s">
        <v>55</v>
      </c>
      <c r="K31" s="340" t="s">
        <v>68</v>
      </c>
      <c r="L31" s="341">
        <v>0</v>
      </c>
      <c r="M31" s="341">
        <v>0</v>
      </c>
      <c r="N31" s="341">
        <v>111.81</v>
      </c>
    </row>
    <row r="32" spans="1:16" x14ac:dyDescent="0.25">
      <c r="D32" s="345"/>
      <c r="E32" s="345"/>
      <c r="F32" s="345"/>
      <c r="H32" s="340" t="s">
        <v>366</v>
      </c>
      <c r="I32" s="340" t="s">
        <v>43</v>
      </c>
      <c r="J32" s="340" t="s">
        <v>55</v>
      </c>
      <c r="K32" s="340" t="s">
        <v>72</v>
      </c>
      <c r="L32" s="341">
        <v>7727.34</v>
      </c>
      <c r="M32" s="341">
        <v>0</v>
      </c>
      <c r="N32" s="341">
        <v>397.76</v>
      </c>
    </row>
    <row r="33" spans="8:14" x14ac:dyDescent="0.25">
      <c r="H33" s="340" t="s">
        <v>366</v>
      </c>
      <c r="I33" s="340" t="s">
        <v>43</v>
      </c>
      <c r="J33" s="340" t="s">
        <v>183</v>
      </c>
      <c r="K33" s="340" t="s">
        <v>360</v>
      </c>
      <c r="L33" s="341">
        <v>0</v>
      </c>
      <c r="M33" s="341">
        <v>443.87</v>
      </c>
      <c r="N33" s="341">
        <v>1027.31</v>
      </c>
    </row>
    <row r="34" spans="8:14" x14ac:dyDescent="0.25">
      <c r="H34" s="340" t="s">
        <v>366</v>
      </c>
      <c r="I34" s="340" t="s">
        <v>43</v>
      </c>
      <c r="J34" s="340" t="s">
        <v>183</v>
      </c>
      <c r="K34" s="340" t="s">
        <v>363</v>
      </c>
      <c r="L34" s="341">
        <v>473.32</v>
      </c>
      <c r="M34" s="341">
        <v>761</v>
      </c>
      <c r="N34" s="341">
        <v>1176.47</v>
      </c>
    </row>
    <row r="35" spans="8:14" x14ac:dyDescent="0.25">
      <c r="H35" s="340" t="s">
        <v>366</v>
      </c>
      <c r="I35" s="340" t="s">
        <v>43</v>
      </c>
      <c r="J35" s="340" t="s">
        <v>183</v>
      </c>
      <c r="K35" s="340" t="s">
        <v>364</v>
      </c>
      <c r="L35" s="341">
        <v>256.06</v>
      </c>
      <c r="M35" s="341">
        <v>0</v>
      </c>
      <c r="N35" s="341">
        <v>1748.54</v>
      </c>
    </row>
    <row r="36" spans="8:14" x14ac:dyDescent="0.25">
      <c r="H36" s="340" t="s">
        <v>366</v>
      </c>
      <c r="I36" s="340" t="s">
        <v>45</v>
      </c>
      <c r="J36" s="340" t="s">
        <v>183</v>
      </c>
      <c r="K36" s="340" t="s">
        <v>360</v>
      </c>
      <c r="L36" s="341">
        <v>468.28</v>
      </c>
      <c r="M36" s="341">
        <v>0</v>
      </c>
      <c r="N36" s="341">
        <v>141.33000000000001</v>
      </c>
    </row>
    <row r="37" spans="8:14" x14ac:dyDescent="0.25">
      <c r="H37" s="340" t="s">
        <v>366</v>
      </c>
      <c r="I37" s="340" t="s">
        <v>45</v>
      </c>
      <c r="J37" s="340" t="s">
        <v>183</v>
      </c>
      <c r="K37" s="340" t="s">
        <v>363</v>
      </c>
      <c r="L37" s="341">
        <v>7067.25</v>
      </c>
      <c r="M37" s="341">
        <v>6767.42</v>
      </c>
      <c r="N37" s="341">
        <v>13309.1</v>
      </c>
    </row>
    <row r="38" spans="8:14" x14ac:dyDescent="0.25">
      <c r="H38" s="340" t="s">
        <v>366</v>
      </c>
      <c r="I38" s="340" t="s">
        <v>45</v>
      </c>
      <c r="J38" s="340" t="s">
        <v>183</v>
      </c>
      <c r="K38" s="340" t="s">
        <v>365</v>
      </c>
      <c r="L38" s="341">
        <v>3.56</v>
      </c>
      <c r="M38" s="341">
        <v>251.18</v>
      </c>
      <c r="N38" s="341">
        <v>2316.88</v>
      </c>
    </row>
    <row r="39" spans="8:14" x14ac:dyDescent="0.25">
      <c r="H39" s="340" t="s">
        <v>366</v>
      </c>
      <c r="I39" s="340" t="s">
        <v>45</v>
      </c>
      <c r="J39" s="340" t="s">
        <v>183</v>
      </c>
      <c r="K39" s="340" t="s">
        <v>72</v>
      </c>
      <c r="L39" s="341">
        <v>186.3</v>
      </c>
      <c r="M39" s="341">
        <v>0</v>
      </c>
      <c r="N39" s="341">
        <v>600.92999999999995</v>
      </c>
    </row>
    <row r="40" spans="8:14" x14ac:dyDescent="0.25">
      <c r="H40" s="340" t="s">
        <v>366</v>
      </c>
      <c r="I40" s="340" t="s">
        <v>46</v>
      </c>
      <c r="J40" s="340" t="s">
        <v>183</v>
      </c>
      <c r="K40" s="340" t="s">
        <v>360</v>
      </c>
      <c r="L40" s="341">
        <v>0</v>
      </c>
      <c r="M40" s="341">
        <v>246.3</v>
      </c>
      <c r="N40" s="341">
        <v>6383.35</v>
      </c>
    </row>
    <row r="41" spans="8:14" x14ac:dyDescent="0.25">
      <c r="H41" s="340" t="s">
        <v>366</v>
      </c>
      <c r="I41" s="340" t="s">
        <v>46</v>
      </c>
      <c r="J41" s="340" t="s">
        <v>183</v>
      </c>
      <c r="K41" s="340" t="s">
        <v>363</v>
      </c>
      <c r="L41" s="341">
        <v>0</v>
      </c>
      <c r="M41" s="341">
        <v>522.30999999999995</v>
      </c>
      <c r="N41" s="341">
        <v>219.37</v>
      </c>
    </row>
    <row r="42" spans="8:14" x14ac:dyDescent="0.25">
      <c r="H42" s="340" t="s">
        <v>366</v>
      </c>
      <c r="I42" s="340" t="s">
        <v>46</v>
      </c>
      <c r="J42" s="340" t="s">
        <v>183</v>
      </c>
      <c r="K42" s="340" t="s">
        <v>364</v>
      </c>
      <c r="L42" s="341">
        <v>837.26</v>
      </c>
      <c r="M42" s="341">
        <v>0</v>
      </c>
      <c r="N42" s="341">
        <v>785.58</v>
      </c>
    </row>
    <row r="43" spans="8:14" x14ac:dyDescent="0.25">
      <c r="H43" s="340" t="s">
        <v>366</v>
      </c>
      <c r="I43" s="340" t="s">
        <v>50</v>
      </c>
      <c r="J43" s="340" t="s">
        <v>52</v>
      </c>
      <c r="K43" s="340" t="s">
        <v>178</v>
      </c>
      <c r="L43" s="341">
        <v>429.57</v>
      </c>
      <c r="M43" s="341">
        <v>219.25</v>
      </c>
      <c r="N43" s="341">
        <v>2190.63</v>
      </c>
    </row>
    <row r="44" spans="8:14" x14ac:dyDescent="0.25">
      <c r="H44" s="340" t="s">
        <v>366</v>
      </c>
      <c r="I44" s="340" t="s">
        <v>50</v>
      </c>
      <c r="J44" s="340" t="s">
        <v>55</v>
      </c>
      <c r="K44" s="340" t="s">
        <v>67</v>
      </c>
      <c r="L44" s="341">
        <v>1314.22</v>
      </c>
      <c r="M44" s="341">
        <v>0</v>
      </c>
      <c r="N44" s="341">
        <v>0</v>
      </c>
    </row>
    <row r="45" spans="8:14" x14ac:dyDescent="0.25">
      <c r="H45" s="340" t="s">
        <v>366</v>
      </c>
      <c r="I45" s="340" t="s">
        <v>50</v>
      </c>
      <c r="J45" s="340" t="s">
        <v>55</v>
      </c>
      <c r="K45" s="340" t="s">
        <v>72</v>
      </c>
      <c r="L45" s="341">
        <v>0</v>
      </c>
      <c r="M45" s="341">
        <v>6.85</v>
      </c>
      <c r="N45" s="341">
        <v>0</v>
      </c>
    </row>
    <row r="46" spans="8:14" x14ac:dyDescent="0.25">
      <c r="H46" s="340" t="s">
        <v>366</v>
      </c>
      <c r="I46" s="340" t="s">
        <v>50</v>
      </c>
      <c r="J46" s="340" t="s">
        <v>183</v>
      </c>
      <c r="K46" s="340" t="s">
        <v>363</v>
      </c>
      <c r="L46" s="341">
        <v>0</v>
      </c>
      <c r="M46" s="341">
        <v>0</v>
      </c>
      <c r="N46" s="341">
        <v>271.02999999999997</v>
      </c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4F5F-48B8-4142-AE9C-32DF321E8E82}">
  <dimension ref="A1:G23"/>
  <sheetViews>
    <sheetView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439</v>
      </c>
      <c r="B8" s="340" t="s">
        <v>38</v>
      </c>
      <c r="C8" s="340" t="s">
        <v>3</v>
      </c>
      <c r="D8" s="342">
        <v>0</v>
      </c>
      <c r="E8" s="342">
        <v>0</v>
      </c>
      <c r="F8" s="342">
        <v>2464.75</v>
      </c>
    </row>
    <row r="9" spans="1:7" x14ac:dyDescent="0.25">
      <c r="A9" s="340" t="s">
        <v>439</v>
      </c>
      <c r="B9" s="340" t="s">
        <v>38</v>
      </c>
      <c r="C9" s="340" t="s">
        <v>323</v>
      </c>
      <c r="D9" s="342">
        <v>303.92</v>
      </c>
      <c r="E9" s="342">
        <v>3608.68</v>
      </c>
      <c r="F9" s="342">
        <v>6508.8</v>
      </c>
    </row>
    <row r="10" spans="1:7" x14ac:dyDescent="0.25">
      <c r="A10" s="340" t="s">
        <v>439</v>
      </c>
      <c r="B10" s="340" t="s">
        <v>38</v>
      </c>
      <c r="C10" s="340" t="s">
        <v>41</v>
      </c>
      <c r="D10" s="342">
        <v>149757.71</v>
      </c>
      <c r="E10" s="342">
        <v>38296.25</v>
      </c>
      <c r="F10" s="342">
        <v>1221864.8799999999</v>
      </c>
    </row>
    <row r="11" spans="1:7" x14ac:dyDescent="0.25">
      <c r="A11" s="340" t="s">
        <v>439</v>
      </c>
      <c r="B11" s="340" t="s">
        <v>39</v>
      </c>
      <c r="C11" s="340" t="s">
        <v>41</v>
      </c>
      <c r="D11" s="342">
        <v>28442.98</v>
      </c>
      <c r="E11" s="342">
        <v>4699.92</v>
      </c>
      <c r="F11" s="342">
        <v>106622.35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1409918.8399999999</v>
      </c>
      <c r="E14" s="390"/>
      <c r="F14" s="417"/>
    </row>
    <row r="15" spans="1:7" x14ac:dyDescent="0.25">
      <c r="A15" s="336" t="s">
        <v>39</v>
      </c>
      <c r="B15" s="415">
        <f>SUM(D11:F11)</f>
        <v>139765.25</v>
      </c>
    </row>
    <row r="16" spans="1:7" x14ac:dyDescent="0.25">
      <c r="A16" s="336" t="s">
        <v>2</v>
      </c>
      <c r="B16" s="415">
        <f>SUM(D9:F9)</f>
        <v>10421.4</v>
      </c>
    </row>
    <row r="17" spans="1:6" x14ac:dyDescent="0.25">
      <c r="A17" s="336" t="s">
        <v>3</v>
      </c>
      <c r="B17" s="415">
        <f>SUM(D8:F8)</f>
        <v>2464.75</v>
      </c>
    </row>
    <row r="18" spans="1:6" ht="15.75" thickBot="1" x14ac:dyDescent="0.3">
      <c r="A18" s="361"/>
      <c r="B18" s="416">
        <f>SUM(B14:B17)</f>
        <v>1562570.2399999998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P43"/>
  <sheetViews>
    <sheetView zoomScale="80" zoomScaleNormal="8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366</v>
      </c>
      <c r="B8" s="340" t="s">
        <v>38</v>
      </c>
      <c r="C8" s="340" t="s">
        <v>3</v>
      </c>
      <c r="D8" s="342">
        <v>0</v>
      </c>
      <c r="E8" s="342">
        <v>655.77</v>
      </c>
      <c r="F8" s="342">
        <v>6308.68</v>
      </c>
      <c r="H8" s="343" t="s">
        <v>366</v>
      </c>
      <c r="I8" s="343" t="s">
        <v>21</v>
      </c>
      <c r="J8" s="343" t="s">
        <v>52</v>
      </c>
      <c r="K8" s="343" t="s">
        <v>209</v>
      </c>
      <c r="L8" s="344">
        <v>950.28</v>
      </c>
      <c r="M8" s="344">
        <v>213.39</v>
      </c>
      <c r="N8" s="344">
        <v>106735.02</v>
      </c>
    </row>
    <row r="9" spans="1:16" x14ac:dyDescent="0.25">
      <c r="A9" s="340" t="s">
        <v>366</v>
      </c>
      <c r="B9" s="340" t="s">
        <v>38</v>
      </c>
      <c r="C9" s="340" t="s">
        <v>323</v>
      </c>
      <c r="D9" s="342">
        <v>527.15</v>
      </c>
      <c r="E9" s="342">
        <v>28.86</v>
      </c>
      <c r="F9" s="342">
        <f>239220.51-192500</f>
        <v>46720.510000000009</v>
      </c>
      <c r="H9" s="343" t="s">
        <v>366</v>
      </c>
      <c r="I9" s="343" t="s">
        <v>21</v>
      </c>
      <c r="J9" s="343" t="s">
        <v>52</v>
      </c>
      <c r="K9" s="343" t="s">
        <v>178</v>
      </c>
      <c r="L9" s="344">
        <v>13103.5</v>
      </c>
      <c r="M9" s="344">
        <v>2863.79</v>
      </c>
      <c r="N9" s="344">
        <v>66536.350000000006</v>
      </c>
    </row>
    <row r="10" spans="1:16" x14ac:dyDescent="0.25">
      <c r="A10" s="340" t="s">
        <v>366</v>
      </c>
      <c r="B10" s="340" t="s">
        <v>38</v>
      </c>
      <c r="C10" s="340" t="s">
        <v>41</v>
      </c>
      <c r="D10" s="342">
        <v>207547.35</v>
      </c>
      <c r="E10" s="342">
        <v>37636.959999999999</v>
      </c>
      <c r="F10" s="342">
        <v>753214.36</v>
      </c>
      <c r="H10" s="343" t="s">
        <v>366</v>
      </c>
      <c r="I10" s="343" t="s">
        <v>21</v>
      </c>
      <c r="J10" s="343" t="s">
        <v>52</v>
      </c>
      <c r="K10" s="343" t="s">
        <v>332</v>
      </c>
      <c r="L10" s="344">
        <v>3571.58</v>
      </c>
      <c r="M10" s="344">
        <v>637.57000000000005</v>
      </c>
      <c r="N10" s="344">
        <v>20805.2</v>
      </c>
    </row>
    <row r="11" spans="1:16" x14ac:dyDescent="0.25">
      <c r="A11" s="340" t="s">
        <v>366</v>
      </c>
      <c r="B11" s="340" t="s">
        <v>39</v>
      </c>
      <c r="C11" s="340" t="s">
        <v>41</v>
      </c>
      <c r="D11" s="342">
        <v>39720.449999999997</v>
      </c>
      <c r="E11" s="342">
        <v>11112.15</v>
      </c>
      <c r="F11" s="342">
        <v>125602.44</v>
      </c>
      <c r="H11" s="343" t="s">
        <v>366</v>
      </c>
      <c r="I11" s="343" t="s">
        <v>21</v>
      </c>
      <c r="J11" s="343" t="s">
        <v>52</v>
      </c>
      <c r="K11" s="343" t="s">
        <v>210</v>
      </c>
      <c r="L11" s="344">
        <v>1947.31</v>
      </c>
      <c r="M11" s="344">
        <v>2135.9899999999998</v>
      </c>
      <c r="N11" s="344">
        <v>46489.26</v>
      </c>
    </row>
    <row r="12" spans="1:16" x14ac:dyDescent="0.25">
      <c r="H12" s="343" t="s">
        <v>366</v>
      </c>
      <c r="I12" s="343" t="s">
        <v>21</v>
      </c>
      <c r="J12" s="343" t="s">
        <v>52</v>
      </c>
      <c r="K12" s="343" t="s">
        <v>72</v>
      </c>
      <c r="L12" s="344">
        <v>7623.82</v>
      </c>
      <c r="M12" s="344">
        <v>938.96</v>
      </c>
      <c r="N12" s="344">
        <v>70153.75</v>
      </c>
      <c r="O12" s="346">
        <f>SUM(L8:N12)</f>
        <v>344705.77</v>
      </c>
      <c r="P12" s="347" t="s">
        <v>52</v>
      </c>
    </row>
    <row r="13" spans="1:16" x14ac:dyDescent="0.25">
      <c r="H13" s="348" t="s">
        <v>366</v>
      </c>
      <c r="I13" s="348" t="s">
        <v>21</v>
      </c>
      <c r="J13" s="348" t="s">
        <v>52</v>
      </c>
      <c r="K13" s="348" t="s">
        <v>240</v>
      </c>
      <c r="L13" s="349">
        <v>5374.44</v>
      </c>
      <c r="M13" s="349">
        <v>576.27</v>
      </c>
      <c r="N13" s="349">
        <v>105344.67</v>
      </c>
      <c r="O13" s="350">
        <f>SUM(L13:N13)</f>
        <v>111295.38</v>
      </c>
      <c r="P13" s="351" t="s">
        <v>253</v>
      </c>
    </row>
    <row r="14" spans="1:16" x14ac:dyDescent="0.25">
      <c r="H14" s="352" t="s">
        <v>366</v>
      </c>
      <c r="I14" s="352" t="s">
        <v>21</v>
      </c>
      <c r="J14" s="352" t="s">
        <v>367</v>
      </c>
      <c r="K14" s="352" t="s">
        <v>368</v>
      </c>
      <c r="L14" s="353">
        <v>116.95</v>
      </c>
      <c r="M14" s="353">
        <v>0</v>
      </c>
      <c r="N14" s="353">
        <v>62.22</v>
      </c>
    </row>
    <row r="15" spans="1:16" x14ac:dyDescent="0.25">
      <c r="H15" s="352" t="s">
        <v>366</v>
      </c>
      <c r="I15" s="352" t="s">
        <v>21</v>
      </c>
      <c r="J15" s="352" t="s">
        <v>55</v>
      </c>
      <c r="K15" s="352" t="s">
        <v>182</v>
      </c>
      <c r="L15" s="353">
        <v>952.17</v>
      </c>
      <c r="M15" s="353">
        <v>20.37</v>
      </c>
      <c r="N15" s="353">
        <v>2136.04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366</v>
      </c>
      <c r="I16" s="352" t="s">
        <v>21</v>
      </c>
      <c r="J16" s="352" t="s">
        <v>55</v>
      </c>
      <c r="K16" s="352" t="s">
        <v>54</v>
      </c>
      <c r="L16" s="353">
        <v>357.99</v>
      </c>
      <c r="M16" s="353">
        <v>0</v>
      </c>
      <c r="N16" s="353">
        <v>1530.18</v>
      </c>
    </row>
    <row r="17" spans="1:16" x14ac:dyDescent="0.25">
      <c r="A17" s="336" t="s">
        <v>38</v>
      </c>
      <c r="B17" s="415">
        <f>SUM(D10:F10)</f>
        <v>998398.66999999993</v>
      </c>
      <c r="D17" s="502" t="s">
        <v>81</v>
      </c>
      <c r="E17" s="502"/>
      <c r="F17" s="360">
        <f>O12/B21</f>
        <v>0.28045958118671849</v>
      </c>
      <c r="H17" s="352" t="s">
        <v>366</v>
      </c>
      <c r="I17" s="352" t="s">
        <v>21</v>
      </c>
      <c r="J17" s="352" t="s">
        <v>55</v>
      </c>
      <c r="K17" s="352" t="s">
        <v>66</v>
      </c>
      <c r="L17" s="353">
        <v>657.01</v>
      </c>
      <c r="M17" s="353">
        <v>342.72</v>
      </c>
      <c r="N17" s="353">
        <v>2653.43</v>
      </c>
    </row>
    <row r="18" spans="1:16" x14ac:dyDescent="0.25">
      <c r="A18" s="336" t="s">
        <v>39</v>
      </c>
      <c r="B18" s="415">
        <f>SUM(D11:F11)</f>
        <v>176435.04</v>
      </c>
      <c r="D18" s="481" t="s">
        <v>253</v>
      </c>
      <c r="E18" s="481"/>
      <c r="F18" s="360">
        <f>O13/B21</f>
        <v>9.0552170515789981E-2</v>
      </c>
      <c r="H18" s="352" t="s">
        <v>366</v>
      </c>
      <c r="I18" s="352" t="s">
        <v>21</v>
      </c>
      <c r="J18" s="352" t="s">
        <v>55</v>
      </c>
      <c r="K18" s="352" t="s">
        <v>67</v>
      </c>
      <c r="L18" s="353">
        <v>123.89</v>
      </c>
      <c r="M18" s="353">
        <v>0</v>
      </c>
      <c r="N18" s="353">
        <v>1347.37</v>
      </c>
    </row>
    <row r="19" spans="1:16" x14ac:dyDescent="0.25">
      <c r="A19" s="336" t="s">
        <v>2</v>
      </c>
      <c r="B19" s="415">
        <f>SUM(D9:F9)</f>
        <v>47276.520000000011</v>
      </c>
      <c r="D19" s="336" t="s">
        <v>78</v>
      </c>
      <c r="F19" s="360">
        <f>O25/B21</f>
        <v>0.13354522119030229</v>
      </c>
      <c r="H19" s="352" t="s">
        <v>366</v>
      </c>
      <c r="I19" s="352" t="s">
        <v>21</v>
      </c>
      <c r="J19" s="352" t="s">
        <v>55</v>
      </c>
      <c r="K19" s="352" t="s">
        <v>68</v>
      </c>
      <c r="L19" s="353">
        <v>1077.01</v>
      </c>
      <c r="M19" s="353">
        <v>0</v>
      </c>
      <c r="N19" s="353">
        <v>1354.6</v>
      </c>
    </row>
    <row r="20" spans="1:16" x14ac:dyDescent="0.25">
      <c r="A20" s="336" t="s">
        <v>3</v>
      </c>
      <c r="B20" s="415">
        <f>SUM(D8:F8)</f>
        <v>6964.4500000000007</v>
      </c>
      <c r="D20" s="481" t="s">
        <v>42</v>
      </c>
      <c r="E20" s="481"/>
      <c r="F20" s="360">
        <f>O29/B21</f>
        <v>0.43236894278873272</v>
      </c>
      <c r="H20" s="352" t="s">
        <v>366</v>
      </c>
      <c r="I20" s="352" t="s">
        <v>21</v>
      </c>
      <c r="J20" s="352" t="s">
        <v>55</v>
      </c>
      <c r="K20" s="352" t="s">
        <v>69</v>
      </c>
      <c r="L20" s="353">
        <v>0</v>
      </c>
      <c r="M20" s="353">
        <v>0</v>
      </c>
      <c r="N20" s="353">
        <v>1073.1400000000001</v>
      </c>
    </row>
    <row r="21" spans="1:16" ht="15.75" thickBot="1" x14ac:dyDescent="0.3">
      <c r="A21" s="361"/>
      <c r="B21" s="416">
        <f>SUM(B17:B20)</f>
        <v>1229074.68</v>
      </c>
      <c r="F21" s="363">
        <f>SUM(F17:F20)</f>
        <v>0.93692591568154349</v>
      </c>
      <c r="H21" s="352" t="s">
        <v>366</v>
      </c>
      <c r="I21" s="352" t="s">
        <v>21</v>
      </c>
      <c r="J21" s="352" t="s">
        <v>55</v>
      </c>
      <c r="K21" s="352" t="s">
        <v>72</v>
      </c>
      <c r="L21" s="353">
        <v>31530.12</v>
      </c>
      <c r="M21" s="353">
        <v>4093.91</v>
      </c>
      <c r="N21" s="353">
        <v>86361.23</v>
      </c>
    </row>
    <row r="22" spans="1:16" x14ac:dyDescent="0.25">
      <c r="E22" s="390" t="s">
        <v>356</v>
      </c>
      <c r="F22" s="417">
        <v>264</v>
      </c>
      <c r="H22" s="352" t="s">
        <v>366</v>
      </c>
      <c r="I22" s="352" t="s">
        <v>21</v>
      </c>
      <c r="J22" s="352" t="s">
        <v>183</v>
      </c>
      <c r="K22" s="352" t="s">
        <v>363</v>
      </c>
      <c r="L22" s="353">
        <v>1845.24</v>
      </c>
      <c r="M22" s="353">
        <v>258.7</v>
      </c>
      <c r="N22" s="353">
        <v>15993.45</v>
      </c>
    </row>
    <row r="23" spans="1:16" x14ac:dyDescent="0.25">
      <c r="E23" s="390"/>
      <c r="F23" s="417"/>
      <c r="H23" s="352" t="s">
        <v>366</v>
      </c>
      <c r="I23" s="352" t="s">
        <v>21</v>
      </c>
      <c r="J23" s="352" t="s">
        <v>183</v>
      </c>
      <c r="K23" s="352" t="s">
        <v>364</v>
      </c>
      <c r="L23" s="353">
        <v>684.2</v>
      </c>
      <c r="M23" s="353">
        <v>0</v>
      </c>
      <c r="N23" s="353">
        <v>2550.64</v>
      </c>
    </row>
    <row r="24" spans="1:16" x14ac:dyDescent="0.25">
      <c r="H24" s="352" t="s">
        <v>366</v>
      </c>
      <c r="I24" s="352" t="s">
        <v>21</v>
      </c>
      <c r="J24" s="352" t="s">
        <v>183</v>
      </c>
      <c r="K24" s="352" t="s">
        <v>365</v>
      </c>
      <c r="L24" s="353">
        <v>516.6</v>
      </c>
      <c r="M24" s="353">
        <v>0</v>
      </c>
      <c r="N24" s="353">
        <v>599.82000000000005</v>
      </c>
    </row>
    <row r="25" spans="1:16" x14ac:dyDescent="0.25">
      <c r="H25" s="352" t="s">
        <v>366</v>
      </c>
      <c r="I25" s="352" t="s">
        <v>21</v>
      </c>
      <c r="J25" s="352" t="s">
        <v>183</v>
      </c>
      <c r="K25" s="352" t="s">
        <v>72</v>
      </c>
      <c r="L25" s="353">
        <v>0</v>
      </c>
      <c r="M25" s="353">
        <v>0</v>
      </c>
      <c r="N25" s="353">
        <v>5898.05</v>
      </c>
      <c r="O25" s="364">
        <f>SUM(L14:N25)</f>
        <v>164137.05000000002</v>
      </c>
      <c r="P25" s="365" t="s">
        <v>110</v>
      </c>
    </row>
    <row r="26" spans="1:16" x14ac:dyDescent="0.25">
      <c r="B26" s="414"/>
      <c r="H26" s="366" t="s">
        <v>366</v>
      </c>
      <c r="I26" s="366" t="s">
        <v>43</v>
      </c>
      <c r="J26" s="366" t="s">
        <v>21</v>
      </c>
      <c r="K26" s="366" t="s">
        <v>21</v>
      </c>
      <c r="L26" s="367">
        <v>62971.53</v>
      </c>
      <c r="M26" s="367">
        <v>8612.1299999999992</v>
      </c>
      <c r="N26" s="367">
        <v>145569.79999999999</v>
      </c>
    </row>
    <row r="27" spans="1:16" x14ac:dyDescent="0.25">
      <c r="H27" s="366" t="s">
        <v>366</v>
      </c>
      <c r="I27" s="366" t="s">
        <v>45</v>
      </c>
      <c r="J27" s="366" t="s">
        <v>21</v>
      </c>
      <c r="K27" s="366" t="s">
        <v>21</v>
      </c>
      <c r="L27" s="367">
        <v>29550.85</v>
      </c>
      <c r="M27" s="367">
        <v>12263.3</v>
      </c>
      <c r="N27" s="367">
        <v>139375.29999999999</v>
      </c>
    </row>
    <row r="28" spans="1:16" x14ac:dyDescent="0.25">
      <c r="H28" s="366" t="s">
        <v>366</v>
      </c>
      <c r="I28" s="366" t="s">
        <v>46</v>
      </c>
      <c r="J28" s="366" t="s">
        <v>21</v>
      </c>
      <c r="K28" s="366" t="s">
        <v>21</v>
      </c>
      <c r="L28" s="367">
        <v>18981.52</v>
      </c>
      <c r="M28" s="367">
        <v>5490.9</v>
      </c>
      <c r="N28" s="367">
        <v>49761.84</v>
      </c>
    </row>
    <row r="29" spans="1:16" x14ac:dyDescent="0.25">
      <c r="H29" s="366" t="s">
        <v>366</v>
      </c>
      <c r="I29" s="366" t="s">
        <v>50</v>
      </c>
      <c r="J29" s="366" t="s">
        <v>21</v>
      </c>
      <c r="K29" s="366" t="s">
        <v>21</v>
      </c>
      <c r="L29" s="367">
        <v>37208.800000000003</v>
      </c>
      <c r="M29" s="367">
        <v>3033.75</v>
      </c>
      <c r="N29" s="367">
        <v>18594</v>
      </c>
      <c r="O29" s="368">
        <f>SUM(L26:N29)</f>
        <v>531413.72</v>
      </c>
      <c r="P29" s="369" t="s">
        <v>369</v>
      </c>
    </row>
    <row r="30" spans="1:16" x14ac:dyDescent="0.25">
      <c r="H30" s="340" t="s">
        <v>366</v>
      </c>
      <c r="I30" s="340" t="s">
        <v>21</v>
      </c>
      <c r="J30" s="340" t="s">
        <v>21</v>
      </c>
      <c r="K30" s="340" t="s">
        <v>21</v>
      </c>
      <c r="L30" s="341">
        <v>22519.94</v>
      </c>
      <c r="M30" s="341">
        <v>5740.45</v>
      </c>
      <c r="N30" s="341">
        <v>210514.14</v>
      </c>
    </row>
    <row r="31" spans="1:16" x14ac:dyDescent="0.25">
      <c r="D31" s="345"/>
      <c r="E31" s="345"/>
      <c r="F31" s="345"/>
      <c r="H31" s="340" t="s">
        <v>366</v>
      </c>
      <c r="I31" s="340" t="s">
        <v>43</v>
      </c>
      <c r="J31" s="340" t="s">
        <v>52</v>
      </c>
      <c r="K31" s="340" t="s">
        <v>178</v>
      </c>
      <c r="L31" s="341">
        <v>0</v>
      </c>
      <c r="M31" s="341">
        <v>265.64</v>
      </c>
      <c r="N31" s="341">
        <v>2755.48</v>
      </c>
    </row>
    <row r="32" spans="1:16" x14ac:dyDescent="0.25">
      <c r="D32" s="345"/>
      <c r="E32" s="345"/>
      <c r="F32" s="345"/>
      <c r="H32" s="340" t="s">
        <v>366</v>
      </c>
      <c r="I32" s="340" t="s">
        <v>43</v>
      </c>
      <c r="J32" s="340" t="s">
        <v>55</v>
      </c>
      <c r="K32" s="340" t="s">
        <v>72</v>
      </c>
      <c r="L32" s="341">
        <v>0</v>
      </c>
      <c r="M32" s="341">
        <v>287.82</v>
      </c>
      <c r="N32" s="341">
        <v>789.24</v>
      </c>
    </row>
    <row r="33" spans="8:14" x14ac:dyDescent="0.25">
      <c r="H33" s="340" t="s">
        <v>366</v>
      </c>
      <c r="I33" s="340" t="s">
        <v>43</v>
      </c>
      <c r="J33" s="340" t="s">
        <v>183</v>
      </c>
      <c r="K33" s="340" t="s">
        <v>363</v>
      </c>
      <c r="L33" s="341">
        <v>872.85</v>
      </c>
      <c r="M33" s="341">
        <v>0</v>
      </c>
      <c r="N33" s="341">
        <v>1792.54</v>
      </c>
    </row>
    <row r="34" spans="8:14" x14ac:dyDescent="0.25">
      <c r="H34" s="340" t="s">
        <v>366</v>
      </c>
      <c r="I34" s="340" t="s">
        <v>43</v>
      </c>
      <c r="J34" s="340" t="s">
        <v>183</v>
      </c>
      <c r="K34" s="340" t="s">
        <v>364</v>
      </c>
      <c r="L34" s="341">
        <v>0</v>
      </c>
      <c r="M34" s="341">
        <v>0</v>
      </c>
      <c r="N34" s="341">
        <v>1798.54</v>
      </c>
    </row>
    <row r="35" spans="8:14" x14ac:dyDescent="0.25">
      <c r="H35" s="340" t="s">
        <v>366</v>
      </c>
      <c r="I35" s="340" t="s">
        <v>45</v>
      </c>
      <c r="J35" s="340" t="s">
        <v>55</v>
      </c>
      <c r="K35" s="340" t="s">
        <v>339</v>
      </c>
      <c r="L35" s="341">
        <v>0</v>
      </c>
      <c r="M35" s="341">
        <v>0</v>
      </c>
      <c r="N35" s="341">
        <v>214.44</v>
      </c>
    </row>
    <row r="36" spans="8:14" x14ac:dyDescent="0.25">
      <c r="H36" s="340" t="s">
        <v>366</v>
      </c>
      <c r="I36" s="340" t="s">
        <v>45</v>
      </c>
      <c r="J36" s="340" t="s">
        <v>55</v>
      </c>
      <c r="K36" s="340" t="s">
        <v>72</v>
      </c>
      <c r="L36" s="341">
        <v>402.83</v>
      </c>
      <c r="M36" s="341">
        <v>36.590000000000003</v>
      </c>
      <c r="N36" s="341">
        <v>153.62</v>
      </c>
    </row>
    <row r="37" spans="8:14" x14ac:dyDescent="0.25">
      <c r="H37" s="340" t="s">
        <v>366</v>
      </c>
      <c r="I37" s="340" t="s">
        <v>45</v>
      </c>
      <c r="J37" s="340" t="s">
        <v>183</v>
      </c>
      <c r="K37" s="340" t="s">
        <v>363</v>
      </c>
      <c r="L37" s="341">
        <v>2274.0700000000002</v>
      </c>
      <c r="M37" s="341">
        <v>533.37</v>
      </c>
      <c r="N37" s="341">
        <v>7411.32</v>
      </c>
    </row>
    <row r="38" spans="8:14" x14ac:dyDescent="0.25">
      <c r="H38" s="340" t="s">
        <v>366</v>
      </c>
      <c r="I38" s="340" t="s">
        <v>45</v>
      </c>
      <c r="J38" s="340" t="s">
        <v>183</v>
      </c>
      <c r="K38" s="340" t="s">
        <v>365</v>
      </c>
      <c r="L38" s="341">
        <v>251.18</v>
      </c>
      <c r="M38" s="341">
        <v>0</v>
      </c>
      <c r="N38" s="341">
        <v>2436.88</v>
      </c>
    </row>
    <row r="39" spans="8:14" x14ac:dyDescent="0.25">
      <c r="H39" s="340" t="s">
        <v>366</v>
      </c>
      <c r="I39" s="340" t="s">
        <v>46</v>
      </c>
      <c r="J39" s="340" t="s">
        <v>55</v>
      </c>
      <c r="K39" s="340" t="s">
        <v>72</v>
      </c>
      <c r="L39" s="341">
        <v>299.3</v>
      </c>
      <c r="M39" s="341">
        <v>375.98</v>
      </c>
      <c r="N39" s="341">
        <v>243.27</v>
      </c>
    </row>
    <row r="40" spans="8:14" x14ac:dyDescent="0.25">
      <c r="H40" s="340" t="s">
        <v>366</v>
      </c>
      <c r="I40" s="340" t="s">
        <v>46</v>
      </c>
      <c r="J40" s="340" t="s">
        <v>183</v>
      </c>
      <c r="K40" s="340" t="s">
        <v>363</v>
      </c>
      <c r="L40" s="341">
        <v>249.37</v>
      </c>
      <c r="M40" s="341">
        <v>365.15</v>
      </c>
      <c r="N40" s="341">
        <v>1391.28</v>
      </c>
    </row>
    <row r="41" spans="8:14" x14ac:dyDescent="0.25">
      <c r="H41" s="340" t="s">
        <v>366</v>
      </c>
      <c r="I41" s="340" t="s">
        <v>46</v>
      </c>
      <c r="J41" s="340" t="s">
        <v>183</v>
      </c>
      <c r="K41" s="340" t="s">
        <v>364</v>
      </c>
      <c r="L41" s="341">
        <v>0</v>
      </c>
      <c r="M41" s="341">
        <v>346.99</v>
      </c>
      <c r="N41" s="341">
        <v>2871.34</v>
      </c>
    </row>
    <row r="42" spans="8:14" x14ac:dyDescent="0.25">
      <c r="H42" s="340" t="s">
        <v>366</v>
      </c>
      <c r="I42" s="340" t="s">
        <v>50</v>
      </c>
      <c r="J42" s="340" t="s">
        <v>52</v>
      </c>
      <c r="K42" s="340" t="s">
        <v>178</v>
      </c>
      <c r="L42" s="341">
        <v>652.85</v>
      </c>
      <c r="M42" s="341">
        <v>0</v>
      </c>
      <c r="N42" s="341">
        <v>832.66</v>
      </c>
    </row>
    <row r="43" spans="8:14" x14ac:dyDescent="0.25">
      <c r="H43" s="340" t="s">
        <v>366</v>
      </c>
      <c r="I43" s="340" t="s">
        <v>50</v>
      </c>
      <c r="J43" s="340" t="s">
        <v>55</v>
      </c>
      <c r="K43" s="340" t="s">
        <v>72</v>
      </c>
      <c r="L43" s="341">
        <v>1127.75</v>
      </c>
      <c r="M43" s="341">
        <v>0</v>
      </c>
      <c r="N43" s="341">
        <v>215.88</v>
      </c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P52"/>
  <sheetViews>
    <sheetView zoomScale="80" zoomScaleNormal="8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366</v>
      </c>
      <c r="B8" s="340" t="s">
        <v>38</v>
      </c>
      <c r="C8" s="340" t="s">
        <v>3</v>
      </c>
      <c r="D8" s="342">
        <v>1214.51</v>
      </c>
      <c r="E8" s="342">
        <v>0</v>
      </c>
      <c r="F8" s="342">
        <v>6398.68</v>
      </c>
      <c r="H8" s="343" t="s">
        <v>366</v>
      </c>
      <c r="I8" s="343" t="s">
        <v>21</v>
      </c>
      <c r="J8" s="343" t="s">
        <v>52</v>
      </c>
      <c r="K8" s="343" t="s">
        <v>209</v>
      </c>
      <c r="L8" s="344">
        <v>213.39</v>
      </c>
      <c r="M8" s="344">
        <v>6706.94</v>
      </c>
      <c r="N8" s="344">
        <v>99064.46</v>
      </c>
    </row>
    <row r="9" spans="1:16" x14ac:dyDescent="0.25">
      <c r="A9" s="340" t="s">
        <v>366</v>
      </c>
      <c r="B9" s="340" t="s">
        <v>38</v>
      </c>
      <c r="C9" s="340" t="s">
        <v>323</v>
      </c>
      <c r="D9" s="342">
        <v>3190</v>
      </c>
      <c r="E9" s="342">
        <v>41144.79</v>
      </c>
      <c r="F9" s="342">
        <f>198083.19-192500</f>
        <v>5583.1900000000023</v>
      </c>
      <c r="H9" s="343" t="s">
        <v>366</v>
      </c>
      <c r="I9" s="343" t="s">
        <v>21</v>
      </c>
      <c r="J9" s="343" t="s">
        <v>52</v>
      </c>
      <c r="K9" s="343" t="s">
        <v>178</v>
      </c>
      <c r="L9" s="344">
        <v>5205.2</v>
      </c>
      <c r="M9" s="344">
        <v>6741.13</v>
      </c>
      <c r="N9" s="344">
        <v>72529.73</v>
      </c>
    </row>
    <row r="10" spans="1:16" x14ac:dyDescent="0.25">
      <c r="A10" s="340" t="s">
        <v>366</v>
      </c>
      <c r="B10" s="340" t="s">
        <v>38</v>
      </c>
      <c r="C10" s="340" t="s">
        <v>41</v>
      </c>
      <c r="D10" s="342">
        <v>58568.29</v>
      </c>
      <c r="E10" s="342">
        <v>86236.43</v>
      </c>
      <c r="F10" s="342">
        <v>755469.62</v>
      </c>
      <c r="H10" s="343" t="s">
        <v>366</v>
      </c>
      <c r="I10" s="343" t="s">
        <v>21</v>
      </c>
      <c r="J10" s="343" t="s">
        <v>52</v>
      </c>
      <c r="K10" s="343" t="s">
        <v>332</v>
      </c>
      <c r="L10" s="344">
        <v>781.34</v>
      </c>
      <c r="M10" s="344">
        <v>1065.43</v>
      </c>
      <c r="N10" s="344">
        <v>19416.310000000001</v>
      </c>
    </row>
    <row r="11" spans="1:16" x14ac:dyDescent="0.25">
      <c r="A11" s="340" t="s">
        <v>366</v>
      </c>
      <c r="B11" s="340" t="s">
        <v>39</v>
      </c>
      <c r="C11" s="340" t="s">
        <v>41</v>
      </c>
      <c r="D11" s="342">
        <v>13761.36</v>
      </c>
      <c r="E11" s="342">
        <v>18929.64</v>
      </c>
      <c r="F11" s="342">
        <v>126222.78</v>
      </c>
      <c r="H11" s="343" t="s">
        <v>366</v>
      </c>
      <c r="I11" s="343" t="s">
        <v>21</v>
      </c>
      <c r="J11" s="343" t="s">
        <v>52</v>
      </c>
      <c r="K11" s="343" t="s">
        <v>210</v>
      </c>
      <c r="L11" s="344">
        <v>2135.9899999999998</v>
      </c>
      <c r="M11" s="344">
        <v>897.01</v>
      </c>
      <c r="N11" s="344">
        <v>51958.77</v>
      </c>
    </row>
    <row r="12" spans="1:16" x14ac:dyDescent="0.25">
      <c r="H12" s="343" t="s">
        <v>366</v>
      </c>
      <c r="I12" s="343" t="s">
        <v>21</v>
      </c>
      <c r="J12" s="343" t="s">
        <v>52</v>
      </c>
      <c r="K12" s="343" t="s">
        <v>72</v>
      </c>
      <c r="L12" s="344">
        <v>1153.69</v>
      </c>
      <c r="M12" s="344">
        <v>42374.15</v>
      </c>
      <c r="N12" s="344">
        <v>30334.720000000001</v>
      </c>
      <c r="O12" s="346">
        <f>SUM(L8:N12)</f>
        <v>340578.26</v>
      </c>
      <c r="P12" s="347" t="s">
        <v>52</v>
      </c>
    </row>
    <row r="13" spans="1:16" x14ac:dyDescent="0.25">
      <c r="H13" s="348" t="s">
        <v>366</v>
      </c>
      <c r="I13" s="348" t="s">
        <v>21</v>
      </c>
      <c r="J13" s="348" t="s">
        <v>52</v>
      </c>
      <c r="K13" s="348" t="s">
        <v>240</v>
      </c>
      <c r="L13" s="349">
        <v>576.27</v>
      </c>
      <c r="M13" s="349">
        <v>2768.12</v>
      </c>
      <c r="N13" s="349">
        <v>104076.13</v>
      </c>
      <c r="O13" s="350">
        <f>SUM(L13:N13)</f>
        <v>107420.52</v>
      </c>
      <c r="P13" s="351" t="s">
        <v>254</v>
      </c>
    </row>
    <row r="14" spans="1:16" x14ac:dyDescent="0.25">
      <c r="H14" s="352" t="s">
        <v>366</v>
      </c>
      <c r="I14" s="352" t="s">
        <v>21</v>
      </c>
      <c r="J14" s="352" t="s">
        <v>367</v>
      </c>
      <c r="K14" s="352" t="s">
        <v>368</v>
      </c>
      <c r="L14" s="353">
        <v>0</v>
      </c>
      <c r="M14" s="353">
        <v>61.17</v>
      </c>
      <c r="N14" s="353">
        <v>7.04</v>
      </c>
    </row>
    <row r="15" spans="1:16" x14ac:dyDescent="0.25">
      <c r="H15" s="352" t="s">
        <v>366</v>
      </c>
      <c r="I15" s="352" t="s">
        <v>21</v>
      </c>
      <c r="J15" s="352" t="s">
        <v>55</v>
      </c>
      <c r="K15" s="352" t="s">
        <v>339</v>
      </c>
      <c r="L15" s="353">
        <v>0</v>
      </c>
      <c r="M15" s="353">
        <v>0</v>
      </c>
      <c r="N15" s="353">
        <v>56.83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366</v>
      </c>
      <c r="I16" s="352" t="s">
        <v>21</v>
      </c>
      <c r="J16" s="352" t="s">
        <v>55</v>
      </c>
      <c r="K16" s="352" t="s">
        <v>182</v>
      </c>
      <c r="L16" s="353">
        <v>277.14</v>
      </c>
      <c r="M16" s="353">
        <v>444.14</v>
      </c>
      <c r="N16" s="353">
        <v>1154.9100000000001</v>
      </c>
    </row>
    <row r="17" spans="1:16" x14ac:dyDescent="0.25">
      <c r="A17" s="336" t="s">
        <v>38</v>
      </c>
      <c r="B17" s="415">
        <f>SUM(D10:F10)</f>
        <v>900274.34</v>
      </c>
      <c r="D17" s="502" t="s">
        <v>81</v>
      </c>
      <c r="E17" s="502"/>
      <c r="F17" s="360">
        <f>O12/B21</f>
        <v>0.30498108436901816</v>
      </c>
      <c r="H17" s="352" t="s">
        <v>366</v>
      </c>
      <c r="I17" s="352" t="s">
        <v>21</v>
      </c>
      <c r="J17" s="352" t="s">
        <v>55</v>
      </c>
      <c r="K17" s="352" t="s">
        <v>54</v>
      </c>
      <c r="L17" s="353">
        <v>213.47</v>
      </c>
      <c r="M17" s="353">
        <v>1654.3</v>
      </c>
      <c r="N17" s="353">
        <v>3240.95</v>
      </c>
    </row>
    <row r="18" spans="1:16" x14ac:dyDescent="0.25">
      <c r="A18" s="336" t="s">
        <v>39</v>
      </c>
      <c r="B18" s="415">
        <f>SUM(D11:F11)</f>
        <v>158913.78</v>
      </c>
      <c r="D18" s="481" t="s">
        <v>253</v>
      </c>
      <c r="E18" s="481"/>
      <c r="F18" s="360">
        <f>O13/B21</f>
        <v>9.6192947468472609E-2</v>
      </c>
      <c r="H18" s="352" t="s">
        <v>366</v>
      </c>
      <c r="I18" s="352" t="s">
        <v>21</v>
      </c>
      <c r="J18" s="352" t="s">
        <v>55</v>
      </c>
      <c r="K18" s="352" t="s">
        <v>66</v>
      </c>
      <c r="L18" s="353">
        <v>623.54999999999995</v>
      </c>
      <c r="M18" s="353">
        <v>230</v>
      </c>
      <c r="N18" s="353">
        <v>682.13</v>
      </c>
    </row>
    <row r="19" spans="1:16" x14ac:dyDescent="0.25">
      <c r="A19" s="336" t="s">
        <v>2</v>
      </c>
      <c r="B19" s="415">
        <f>SUM(D9:F9)</f>
        <v>49917.98</v>
      </c>
      <c r="D19" s="336" t="s">
        <v>78</v>
      </c>
      <c r="F19" s="360">
        <f>O28/B21</f>
        <v>0.11357863263918369</v>
      </c>
      <c r="H19" s="352" t="s">
        <v>366</v>
      </c>
      <c r="I19" s="352" t="s">
        <v>21</v>
      </c>
      <c r="J19" s="352" t="s">
        <v>55</v>
      </c>
      <c r="K19" s="352" t="s">
        <v>67</v>
      </c>
      <c r="L19" s="353">
        <v>0</v>
      </c>
      <c r="M19" s="353">
        <v>61.47</v>
      </c>
      <c r="N19" s="353">
        <v>813.85</v>
      </c>
    </row>
    <row r="20" spans="1:16" x14ac:dyDescent="0.25">
      <c r="A20" s="336" t="s">
        <v>3</v>
      </c>
      <c r="B20" s="415">
        <f>SUM(D8:F8)</f>
        <v>7613.1900000000005</v>
      </c>
      <c r="D20" s="481" t="s">
        <v>42</v>
      </c>
      <c r="E20" s="481"/>
      <c r="F20" s="360">
        <f>O32/B21</f>
        <v>0.42409678443004251</v>
      </c>
      <c r="H20" s="352" t="s">
        <v>366</v>
      </c>
      <c r="I20" s="352" t="s">
        <v>21</v>
      </c>
      <c r="J20" s="352" t="s">
        <v>55</v>
      </c>
      <c r="K20" s="352" t="s">
        <v>68</v>
      </c>
      <c r="L20" s="353">
        <v>975.12</v>
      </c>
      <c r="M20" s="353">
        <v>0</v>
      </c>
      <c r="N20" s="353">
        <v>4056.36</v>
      </c>
    </row>
    <row r="21" spans="1:16" ht="15.75" thickBot="1" x14ac:dyDescent="0.3">
      <c r="A21" s="361"/>
      <c r="B21" s="416">
        <f>SUM(B17:B20)</f>
        <v>1116719.2899999998</v>
      </c>
      <c r="F21" s="363">
        <f>SUM(F17:F20)</f>
        <v>0.93884944890671695</v>
      </c>
      <c r="H21" s="352" t="s">
        <v>366</v>
      </c>
      <c r="I21" s="352" t="s">
        <v>21</v>
      </c>
      <c r="J21" s="352" t="s">
        <v>55</v>
      </c>
      <c r="K21" s="352" t="s">
        <v>72</v>
      </c>
      <c r="L21" s="353">
        <v>4833.3599999999997</v>
      </c>
      <c r="M21" s="353">
        <v>10622.42</v>
      </c>
      <c r="N21" s="353">
        <v>74595.22</v>
      </c>
    </row>
    <row r="22" spans="1:16" x14ac:dyDescent="0.25">
      <c r="E22" s="390" t="s">
        <v>356</v>
      </c>
      <c r="F22" s="417">
        <v>254</v>
      </c>
      <c r="H22" s="352" t="s">
        <v>366</v>
      </c>
      <c r="I22" s="352" t="s">
        <v>21</v>
      </c>
      <c r="J22" s="352" t="s">
        <v>183</v>
      </c>
      <c r="K22" s="352" t="s">
        <v>360</v>
      </c>
      <c r="L22" s="353">
        <v>0</v>
      </c>
      <c r="M22" s="353">
        <v>0</v>
      </c>
      <c r="N22" s="353">
        <v>95.72</v>
      </c>
    </row>
    <row r="23" spans="1:16" x14ac:dyDescent="0.25">
      <c r="E23" s="390"/>
      <c r="F23" s="417"/>
      <c r="H23" s="352" t="s">
        <v>366</v>
      </c>
      <c r="I23" s="352" t="s">
        <v>21</v>
      </c>
      <c r="J23" s="352" t="s">
        <v>183</v>
      </c>
      <c r="K23" s="352" t="s">
        <v>361</v>
      </c>
      <c r="L23" s="353">
        <v>0</v>
      </c>
      <c r="M23" s="353">
        <v>0</v>
      </c>
      <c r="N23" s="353">
        <v>1060.48</v>
      </c>
    </row>
    <row r="24" spans="1:16" x14ac:dyDescent="0.25">
      <c r="H24" s="352" t="s">
        <v>366</v>
      </c>
      <c r="I24" s="352" t="s">
        <v>21</v>
      </c>
      <c r="J24" s="352" t="s">
        <v>183</v>
      </c>
      <c r="K24" s="352" t="s">
        <v>362</v>
      </c>
      <c r="L24" s="353">
        <v>0</v>
      </c>
      <c r="M24" s="353">
        <v>740.88</v>
      </c>
      <c r="N24" s="353">
        <v>1742.53</v>
      </c>
    </row>
    <row r="25" spans="1:16" x14ac:dyDescent="0.25">
      <c r="H25" s="352" t="s">
        <v>366</v>
      </c>
      <c r="I25" s="352" t="s">
        <v>21</v>
      </c>
      <c r="J25" s="352" t="s">
        <v>183</v>
      </c>
      <c r="K25" s="352" t="s">
        <v>363</v>
      </c>
      <c r="L25" s="353">
        <v>303.10000000000002</v>
      </c>
      <c r="M25" s="353">
        <v>354.41</v>
      </c>
      <c r="N25" s="353">
        <v>5492.65</v>
      </c>
    </row>
    <row r="26" spans="1:16" x14ac:dyDescent="0.25">
      <c r="B26" s="414"/>
      <c r="H26" s="352" t="s">
        <v>366</v>
      </c>
      <c r="I26" s="352" t="s">
        <v>21</v>
      </c>
      <c r="J26" s="352" t="s">
        <v>183</v>
      </c>
      <c r="K26" s="352" t="s">
        <v>364</v>
      </c>
      <c r="L26" s="353">
        <v>0</v>
      </c>
      <c r="M26" s="353">
        <v>512.86</v>
      </c>
      <c r="N26" s="353">
        <v>1224.8499999999999</v>
      </c>
    </row>
    <row r="27" spans="1:16" x14ac:dyDescent="0.25">
      <c r="H27" s="352" t="s">
        <v>366</v>
      </c>
      <c r="I27" s="352" t="s">
        <v>21</v>
      </c>
      <c r="J27" s="352" t="s">
        <v>183</v>
      </c>
      <c r="K27" s="352" t="s">
        <v>365</v>
      </c>
      <c r="L27" s="353">
        <v>0</v>
      </c>
      <c r="M27" s="353">
        <v>128.85</v>
      </c>
      <c r="N27" s="353">
        <v>657.22</v>
      </c>
    </row>
    <row r="28" spans="1:16" x14ac:dyDescent="0.25">
      <c r="H28" s="352" t="s">
        <v>366</v>
      </c>
      <c r="I28" s="352" t="s">
        <v>21</v>
      </c>
      <c r="J28" s="352" t="s">
        <v>183</v>
      </c>
      <c r="K28" s="352" t="s">
        <v>72</v>
      </c>
      <c r="L28" s="353">
        <v>265.92</v>
      </c>
      <c r="M28" s="353">
        <v>1127.3499999999999</v>
      </c>
      <c r="N28" s="353">
        <v>8525.2000000000007</v>
      </c>
      <c r="O28" s="364">
        <f>SUM(L14:N28)</f>
        <v>126835.45000000001</v>
      </c>
      <c r="P28" s="365" t="s">
        <v>110</v>
      </c>
    </row>
    <row r="29" spans="1:16" x14ac:dyDescent="0.25">
      <c r="H29" s="366" t="s">
        <v>366</v>
      </c>
      <c r="I29" s="366" t="s">
        <v>43</v>
      </c>
      <c r="J29" s="366" t="s">
        <v>21</v>
      </c>
      <c r="K29" s="366" t="s">
        <v>21</v>
      </c>
      <c r="L29" s="367">
        <v>12803.15</v>
      </c>
      <c r="M29" s="367">
        <v>22273.85</v>
      </c>
      <c r="N29" s="367">
        <v>156590.96</v>
      </c>
    </row>
    <row r="30" spans="1:16" x14ac:dyDescent="0.25">
      <c r="H30" s="366" t="s">
        <v>366</v>
      </c>
      <c r="I30" s="366" t="s">
        <v>45</v>
      </c>
      <c r="J30" s="366" t="s">
        <v>21</v>
      </c>
      <c r="K30" s="366" t="s">
        <v>21</v>
      </c>
      <c r="L30" s="367">
        <v>15260.92</v>
      </c>
      <c r="M30" s="367">
        <v>24154.27</v>
      </c>
      <c r="N30" s="367">
        <v>138168.60999999999</v>
      </c>
    </row>
    <row r="31" spans="1:16" x14ac:dyDescent="0.25">
      <c r="D31" s="345"/>
      <c r="E31" s="345"/>
      <c r="F31" s="345"/>
      <c r="H31" s="366" t="s">
        <v>366</v>
      </c>
      <c r="I31" s="366" t="s">
        <v>46</v>
      </c>
      <c r="J31" s="366" t="s">
        <v>21</v>
      </c>
      <c r="K31" s="366" t="s">
        <v>21</v>
      </c>
      <c r="L31" s="367">
        <v>7621.69</v>
      </c>
      <c r="M31" s="367">
        <v>6669.07</v>
      </c>
      <c r="N31" s="367">
        <v>54542.95</v>
      </c>
    </row>
    <row r="32" spans="1:16" x14ac:dyDescent="0.25">
      <c r="D32" s="345"/>
      <c r="E32" s="345"/>
      <c r="F32" s="345"/>
      <c r="H32" s="366" t="s">
        <v>366</v>
      </c>
      <c r="I32" s="366" t="s">
        <v>50</v>
      </c>
      <c r="J32" s="366" t="s">
        <v>21</v>
      </c>
      <c r="K32" s="366" t="s">
        <v>21</v>
      </c>
      <c r="L32" s="367">
        <v>7076.63</v>
      </c>
      <c r="M32" s="367">
        <v>6090.37</v>
      </c>
      <c r="N32" s="367">
        <v>22344.59</v>
      </c>
      <c r="O32" s="368">
        <f>SUM(L29:N32)</f>
        <v>473597.06000000006</v>
      </c>
      <c r="P32" s="369" t="s">
        <v>369</v>
      </c>
    </row>
    <row r="33" spans="8:14" x14ac:dyDescent="0.25">
      <c r="H33" s="336" t="s">
        <v>366</v>
      </c>
      <c r="I33" s="336" t="s">
        <v>21</v>
      </c>
      <c r="J33" s="336" t="s">
        <v>21</v>
      </c>
      <c r="K33" s="336" t="s">
        <v>21</v>
      </c>
      <c r="L33" s="370">
        <v>10916</v>
      </c>
      <c r="M33" s="370">
        <v>5449.28</v>
      </c>
      <c r="N33" s="370">
        <v>209643.05</v>
      </c>
    </row>
    <row r="34" spans="8:14" x14ac:dyDescent="0.25">
      <c r="H34" s="336" t="s">
        <v>366</v>
      </c>
      <c r="I34" s="336" t="s">
        <v>43</v>
      </c>
      <c r="J34" s="336" t="s">
        <v>52</v>
      </c>
      <c r="K34" s="336" t="s">
        <v>178</v>
      </c>
      <c r="L34" s="370">
        <v>1072.6500000000001</v>
      </c>
      <c r="M34" s="370">
        <v>261.87</v>
      </c>
      <c r="N34" s="370">
        <v>872.92</v>
      </c>
    </row>
    <row r="35" spans="8:14" x14ac:dyDescent="0.25">
      <c r="H35" s="336" t="s">
        <v>366</v>
      </c>
      <c r="I35" s="336" t="s">
        <v>43</v>
      </c>
      <c r="J35" s="336" t="s">
        <v>183</v>
      </c>
      <c r="K35" s="336" t="s">
        <v>360</v>
      </c>
      <c r="L35" s="370">
        <v>0</v>
      </c>
      <c r="M35" s="370">
        <v>2014.28</v>
      </c>
      <c r="N35" s="370">
        <v>2707.53</v>
      </c>
    </row>
    <row r="36" spans="8:14" x14ac:dyDescent="0.25">
      <c r="H36" s="336" t="s">
        <v>366</v>
      </c>
      <c r="I36" s="336" t="s">
        <v>43</v>
      </c>
      <c r="J36" s="336" t="s">
        <v>183</v>
      </c>
      <c r="K36" s="336" t="s">
        <v>363</v>
      </c>
      <c r="L36" s="370">
        <v>0</v>
      </c>
      <c r="M36" s="370">
        <v>0</v>
      </c>
      <c r="N36" s="370">
        <v>905.23</v>
      </c>
    </row>
    <row r="37" spans="8:14" x14ac:dyDescent="0.25">
      <c r="H37" s="336" t="s">
        <v>366</v>
      </c>
      <c r="I37" s="336" t="s">
        <v>43</v>
      </c>
      <c r="J37" s="336" t="s">
        <v>183</v>
      </c>
      <c r="K37" s="336" t="s">
        <v>364</v>
      </c>
      <c r="L37" s="370">
        <v>0</v>
      </c>
      <c r="M37" s="370">
        <v>246.57</v>
      </c>
      <c r="N37" s="370">
        <v>1651.97</v>
      </c>
    </row>
    <row r="38" spans="8:14" x14ac:dyDescent="0.25">
      <c r="H38" s="336" t="s">
        <v>366</v>
      </c>
      <c r="I38" s="336" t="s">
        <v>45</v>
      </c>
      <c r="J38" s="336" t="s">
        <v>55</v>
      </c>
      <c r="K38" s="336" t="s">
        <v>54</v>
      </c>
      <c r="L38" s="370">
        <v>0</v>
      </c>
      <c r="M38" s="370">
        <v>222.73</v>
      </c>
      <c r="N38" s="370">
        <v>59.85</v>
      </c>
    </row>
    <row r="39" spans="8:14" x14ac:dyDescent="0.25">
      <c r="H39" s="336" t="s">
        <v>366</v>
      </c>
      <c r="I39" s="336" t="s">
        <v>45</v>
      </c>
      <c r="J39" s="336" t="s">
        <v>55</v>
      </c>
      <c r="K39" s="336" t="s">
        <v>72</v>
      </c>
      <c r="L39" s="370">
        <v>320.41000000000003</v>
      </c>
      <c r="M39" s="370">
        <v>0</v>
      </c>
      <c r="N39" s="370">
        <v>569.25</v>
      </c>
    </row>
    <row r="40" spans="8:14" x14ac:dyDescent="0.25">
      <c r="H40" s="336" t="s">
        <v>366</v>
      </c>
      <c r="I40" s="336" t="s">
        <v>45</v>
      </c>
      <c r="J40" s="336" t="s">
        <v>183</v>
      </c>
      <c r="K40" s="336" t="s">
        <v>360</v>
      </c>
      <c r="L40" s="370">
        <v>0</v>
      </c>
      <c r="M40" s="370">
        <v>0</v>
      </c>
      <c r="N40" s="370">
        <v>0</v>
      </c>
    </row>
    <row r="41" spans="8:14" x14ac:dyDescent="0.25">
      <c r="H41" s="336" t="s">
        <v>366</v>
      </c>
      <c r="I41" s="336" t="s">
        <v>45</v>
      </c>
      <c r="J41" s="336" t="s">
        <v>183</v>
      </c>
      <c r="K41" s="336" t="s">
        <v>362</v>
      </c>
      <c r="L41" s="370">
        <v>0</v>
      </c>
      <c r="M41" s="370">
        <v>214.37</v>
      </c>
      <c r="N41" s="370">
        <v>3322.84</v>
      </c>
    </row>
    <row r="42" spans="8:14" x14ac:dyDescent="0.25">
      <c r="H42" s="336" t="s">
        <v>366</v>
      </c>
      <c r="I42" s="336" t="s">
        <v>45</v>
      </c>
      <c r="J42" s="336" t="s">
        <v>183</v>
      </c>
      <c r="K42" s="336" t="s">
        <v>363</v>
      </c>
      <c r="L42" s="370">
        <v>425.45</v>
      </c>
      <c r="M42" s="370">
        <v>937.36</v>
      </c>
      <c r="N42" s="370">
        <v>3704.27</v>
      </c>
    </row>
    <row r="43" spans="8:14" x14ac:dyDescent="0.25">
      <c r="H43" s="336" t="s">
        <v>366</v>
      </c>
      <c r="I43" s="336" t="s">
        <v>45</v>
      </c>
      <c r="J43" s="336" t="s">
        <v>183</v>
      </c>
      <c r="K43" s="336" t="s">
        <v>365</v>
      </c>
      <c r="L43" s="370">
        <v>0</v>
      </c>
      <c r="M43" s="370">
        <v>0</v>
      </c>
      <c r="N43" s="370">
        <v>2556.88</v>
      </c>
    </row>
    <row r="44" spans="8:14" x14ac:dyDescent="0.25">
      <c r="H44" s="336" t="s">
        <v>366</v>
      </c>
      <c r="I44" s="336" t="s">
        <v>46</v>
      </c>
      <c r="J44" s="336" t="s">
        <v>183</v>
      </c>
      <c r="K44" s="336" t="s">
        <v>361</v>
      </c>
      <c r="L44" s="370">
        <v>346.99</v>
      </c>
      <c r="M44" s="370">
        <v>0</v>
      </c>
      <c r="N44" s="370">
        <v>2038.25</v>
      </c>
    </row>
    <row r="45" spans="8:14" x14ac:dyDescent="0.25">
      <c r="H45" s="336" t="s">
        <v>366</v>
      </c>
      <c r="I45" s="336" t="s">
        <v>46</v>
      </c>
      <c r="J45" s="336" t="s">
        <v>183</v>
      </c>
      <c r="K45" s="336" t="s">
        <v>363</v>
      </c>
      <c r="L45" s="370">
        <v>0</v>
      </c>
      <c r="M45" s="370">
        <v>358.62</v>
      </c>
      <c r="N45" s="370">
        <v>3277.39</v>
      </c>
    </row>
    <row r="46" spans="8:14" x14ac:dyDescent="0.25">
      <c r="H46" s="336" t="s">
        <v>366</v>
      </c>
      <c r="I46" s="336" t="s">
        <v>46</v>
      </c>
      <c r="J46" s="336" t="s">
        <v>183</v>
      </c>
      <c r="K46" s="336" t="s">
        <v>364</v>
      </c>
      <c r="L46" s="370">
        <v>0</v>
      </c>
      <c r="M46" s="370">
        <v>737.5</v>
      </c>
      <c r="N46" s="370">
        <v>363.08</v>
      </c>
    </row>
    <row r="47" spans="8:14" x14ac:dyDescent="0.25">
      <c r="H47" s="336" t="s">
        <v>366</v>
      </c>
      <c r="I47" s="336" t="s">
        <v>50</v>
      </c>
      <c r="J47" s="336" t="s">
        <v>52</v>
      </c>
      <c r="K47" s="336" t="s">
        <v>178</v>
      </c>
      <c r="L47" s="370">
        <v>3310.49</v>
      </c>
      <c r="M47" s="370">
        <v>190.09</v>
      </c>
      <c r="N47" s="370">
        <v>549.95000000000005</v>
      </c>
    </row>
    <row r="48" spans="8:14" x14ac:dyDescent="0.25">
      <c r="H48" s="336" t="s">
        <v>366</v>
      </c>
      <c r="I48" s="336" t="s">
        <v>50</v>
      </c>
      <c r="J48" s="336" t="s">
        <v>52</v>
      </c>
      <c r="K48" s="336" t="s">
        <v>332</v>
      </c>
      <c r="L48" s="370">
        <v>0</v>
      </c>
      <c r="M48" s="370">
        <v>0</v>
      </c>
      <c r="N48" s="370">
        <v>0</v>
      </c>
    </row>
    <row r="49" spans="8:14" x14ac:dyDescent="0.25">
      <c r="H49" s="336" t="s">
        <v>366</v>
      </c>
      <c r="I49" s="336" t="s">
        <v>50</v>
      </c>
      <c r="J49" s="336" t="s">
        <v>52</v>
      </c>
      <c r="K49" s="336" t="s">
        <v>72</v>
      </c>
      <c r="L49" s="370">
        <v>0</v>
      </c>
      <c r="M49" s="370">
        <v>0</v>
      </c>
      <c r="N49" s="370">
        <v>1147.46</v>
      </c>
    </row>
    <row r="50" spans="8:14" x14ac:dyDescent="0.25">
      <c r="H50" s="336" t="s">
        <v>366</v>
      </c>
      <c r="I50" s="336" t="s">
        <v>50</v>
      </c>
      <c r="J50" s="336" t="s">
        <v>55</v>
      </c>
      <c r="K50" s="336" t="s">
        <v>54</v>
      </c>
      <c r="L50" s="370">
        <v>0</v>
      </c>
      <c r="M50" s="370">
        <v>0</v>
      </c>
      <c r="N50" s="370">
        <v>0</v>
      </c>
    </row>
    <row r="51" spans="8:14" x14ac:dyDescent="0.25">
      <c r="H51" s="336" t="s">
        <v>366</v>
      </c>
      <c r="I51" s="336" t="s">
        <v>50</v>
      </c>
      <c r="J51" s="336" t="s">
        <v>55</v>
      </c>
      <c r="K51" s="336" t="s">
        <v>66</v>
      </c>
      <c r="L51" s="370">
        <v>22.24</v>
      </c>
      <c r="M51" s="370">
        <v>0</v>
      </c>
      <c r="N51" s="370">
        <v>201.23</v>
      </c>
    </row>
    <row r="52" spans="8:14" x14ac:dyDescent="0.25">
      <c r="H52" s="336" t="s">
        <v>366</v>
      </c>
      <c r="I52" s="336" t="s">
        <v>50</v>
      </c>
      <c r="J52" s="336" t="s">
        <v>55</v>
      </c>
      <c r="K52" s="336" t="s">
        <v>68</v>
      </c>
      <c r="L52" s="370">
        <v>0</v>
      </c>
      <c r="M52" s="370">
        <v>0</v>
      </c>
      <c r="N52" s="370">
        <v>169.95</v>
      </c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P57"/>
  <sheetViews>
    <sheetView zoomScale="80" zoomScaleNormal="80" workbookViewId="0">
      <selection activeCell="J20" sqref="J2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366</v>
      </c>
      <c r="B8" s="340" t="s">
        <v>38</v>
      </c>
      <c r="C8" s="340" t="s">
        <v>3</v>
      </c>
      <c r="D8" s="342">
        <v>0</v>
      </c>
      <c r="E8" s="342">
        <v>0</v>
      </c>
      <c r="F8" s="342">
        <v>7505.13</v>
      </c>
      <c r="H8" s="343" t="s">
        <v>366</v>
      </c>
      <c r="I8" s="408" t="s">
        <v>21</v>
      </c>
      <c r="J8" s="258" t="s">
        <v>52</v>
      </c>
      <c r="K8" s="258" t="s">
        <v>209</v>
      </c>
      <c r="L8" s="328">
        <v>6472.57</v>
      </c>
      <c r="M8" s="328">
        <v>1101.48</v>
      </c>
      <c r="N8" s="328">
        <v>98385.16</v>
      </c>
      <c r="O8" s="409"/>
      <c r="P8" s="410"/>
    </row>
    <row r="9" spans="1:16" x14ac:dyDescent="0.25">
      <c r="A9" s="340" t="s">
        <v>366</v>
      </c>
      <c r="B9" s="340" t="s">
        <v>38</v>
      </c>
      <c r="C9" s="340" t="s">
        <v>323</v>
      </c>
      <c r="D9" s="342">
        <v>41176.410000000003</v>
      </c>
      <c r="E9" s="342">
        <v>2706</v>
      </c>
      <c r="F9" s="342">
        <v>3430.97</v>
      </c>
      <c r="H9" s="343" t="s">
        <v>366</v>
      </c>
      <c r="I9" s="408" t="s">
        <v>21</v>
      </c>
      <c r="J9" s="258" t="s">
        <v>52</v>
      </c>
      <c r="K9" s="258" t="s">
        <v>178</v>
      </c>
      <c r="L9" s="328">
        <v>6794.22</v>
      </c>
      <c r="M9" s="328">
        <v>9769.77</v>
      </c>
      <c r="N9" s="328">
        <v>54648.37</v>
      </c>
      <c r="O9" s="409"/>
      <c r="P9" s="410"/>
    </row>
    <row r="10" spans="1:16" x14ac:dyDescent="0.25">
      <c r="A10" s="340" t="s">
        <v>366</v>
      </c>
      <c r="B10" s="340" t="s">
        <v>38</v>
      </c>
      <c r="C10" s="340" t="s">
        <v>41</v>
      </c>
      <c r="D10" s="342">
        <v>101073.81</v>
      </c>
      <c r="E10" s="342">
        <v>131920.95000000001</v>
      </c>
      <c r="F10" s="342">
        <v>711232.85</v>
      </c>
      <c r="H10" s="343" t="s">
        <v>366</v>
      </c>
      <c r="I10" s="408" t="s">
        <v>21</v>
      </c>
      <c r="J10" s="258" t="s">
        <v>52</v>
      </c>
      <c r="K10" s="258" t="s">
        <v>332</v>
      </c>
      <c r="L10" s="328">
        <v>1539.52</v>
      </c>
      <c r="M10" s="328">
        <v>2625.09</v>
      </c>
      <c r="N10" s="328">
        <v>22648.240000000002</v>
      </c>
      <c r="O10" s="409"/>
      <c r="P10" s="410"/>
    </row>
    <row r="11" spans="1:16" x14ac:dyDescent="0.25">
      <c r="A11" s="340" t="s">
        <v>366</v>
      </c>
      <c r="B11" s="340" t="s">
        <v>39</v>
      </c>
      <c r="C11" s="340" t="s">
        <v>41</v>
      </c>
      <c r="D11" s="342">
        <v>22376.29</v>
      </c>
      <c r="E11" s="342">
        <v>35317.58</v>
      </c>
      <c r="F11" s="342">
        <v>108841.16</v>
      </c>
      <c r="H11" s="343" t="s">
        <v>366</v>
      </c>
      <c r="I11" s="408" t="s">
        <v>21</v>
      </c>
      <c r="J11" s="258" t="s">
        <v>52</v>
      </c>
      <c r="K11" s="258" t="s">
        <v>210</v>
      </c>
      <c r="L11" s="328">
        <v>630.66999999999996</v>
      </c>
      <c r="M11" s="328">
        <v>4534.13</v>
      </c>
      <c r="N11" s="328">
        <v>50954.45</v>
      </c>
      <c r="O11" s="409"/>
      <c r="P11" s="410"/>
    </row>
    <row r="12" spans="1:16" x14ac:dyDescent="0.25">
      <c r="H12" s="343" t="s">
        <v>366</v>
      </c>
      <c r="I12" s="408" t="s">
        <v>21</v>
      </c>
      <c r="J12" s="258" t="s">
        <v>52</v>
      </c>
      <c r="K12" s="258" t="s">
        <v>240</v>
      </c>
      <c r="L12" s="328">
        <v>2318.85</v>
      </c>
      <c r="M12" s="328">
        <v>1014.96</v>
      </c>
      <c r="N12" s="328">
        <v>72359.199999999997</v>
      </c>
      <c r="O12" s="397">
        <f>SUM(L8:N12)</f>
        <v>335796.68</v>
      </c>
      <c r="P12" s="347" t="s">
        <v>52</v>
      </c>
    </row>
    <row r="13" spans="1:16" x14ac:dyDescent="0.25">
      <c r="H13" s="348" t="s">
        <v>366</v>
      </c>
      <c r="I13" s="411" t="s">
        <v>21</v>
      </c>
      <c r="J13" s="273" t="s">
        <v>52</v>
      </c>
      <c r="K13" s="273" t="s">
        <v>72</v>
      </c>
      <c r="L13" s="329">
        <v>42248.7</v>
      </c>
      <c r="M13" s="329">
        <v>7721.33</v>
      </c>
      <c r="N13" s="329">
        <v>22856.31</v>
      </c>
      <c r="O13" s="399">
        <f>SUM(L13:N13)</f>
        <v>72826.34</v>
      </c>
      <c r="P13" s="351" t="s">
        <v>254</v>
      </c>
    </row>
    <row r="14" spans="1:16" x14ac:dyDescent="0.25">
      <c r="H14" s="256" t="s">
        <v>366</v>
      </c>
      <c r="I14" s="256" t="s">
        <v>21</v>
      </c>
      <c r="J14" s="256" t="s">
        <v>367</v>
      </c>
      <c r="K14" s="256" t="s">
        <v>368</v>
      </c>
      <c r="L14" s="330">
        <v>0</v>
      </c>
      <c r="M14" s="330">
        <v>554.48</v>
      </c>
      <c r="N14" s="330">
        <v>358.75</v>
      </c>
      <c r="O14" s="395"/>
    </row>
    <row r="15" spans="1:16" x14ac:dyDescent="0.25">
      <c r="H15" s="352" t="s">
        <v>366</v>
      </c>
      <c r="I15" s="412" t="s">
        <v>21</v>
      </c>
      <c r="J15" s="256" t="s">
        <v>55</v>
      </c>
      <c r="K15" s="256" t="s">
        <v>182</v>
      </c>
      <c r="L15" s="330">
        <v>0</v>
      </c>
      <c r="M15" s="330">
        <v>109.54</v>
      </c>
      <c r="N15" s="330">
        <v>630.67999999999995</v>
      </c>
      <c r="O15" s="409"/>
      <c r="P15" s="410"/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366</v>
      </c>
      <c r="I16" s="412" t="s">
        <v>21</v>
      </c>
      <c r="J16" s="256" t="s">
        <v>55</v>
      </c>
      <c r="K16" s="256" t="s">
        <v>54</v>
      </c>
      <c r="L16" s="330">
        <v>227.07</v>
      </c>
      <c r="M16" s="330">
        <v>1031.06</v>
      </c>
      <c r="N16" s="330">
        <v>1220.97</v>
      </c>
      <c r="O16" s="409"/>
      <c r="P16" s="410"/>
    </row>
    <row r="17" spans="1:16" x14ac:dyDescent="0.25">
      <c r="A17" s="336" t="s">
        <v>38</v>
      </c>
      <c r="B17" s="415">
        <f>SUM(D10:F10)</f>
        <v>944227.61</v>
      </c>
      <c r="D17" s="502" t="s">
        <v>81</v>
      </c>
      <c r="E17" s="502"/>
      <c r="F17" s="360">
        <f>O12/B21</f>
        <v>0.28809378051455276</v>
      </c>
      <c r="H17" s="352" t="s">
        <v>366</v>
      </c>
      <c r="I17" s="412" t="s">
        <v>21</v>
      </c>
      <c r="J17" s="256" t="s">
        <v>55</v>
      </c>
      <c r="K17" s="256" t="s">
        <v>66</v>
      </c>
      <c r="L17" s="330">
        <v>296.54000000000002</v>
      </c>
      <c r="M17" s="330">
        <v>443.46</v>
      </c>
      <c r="N17" s="330">
        <v>5077.18</v>
      </c>
      <c r="O17" s="409"/>
      <c r="P17" s="410"/>
    </row>
    <row r="18" spans="1:16" x14ac:dyDescent="0.25">
      <c r="A18" s="336" t="s">
        <v>39</v>
      </c>
      <c r="B18" s="415">
        <f>SUM(D11:F11)</f>
        <v>166535.03</v>
      </c>
      <c r="D18" s="481" t="s">
        <v>253</v>
      </c>
      <c r="E18" s="481"/>
      <c r="F18" s="360">
        <f>O13/B21</f>
        <v>6.2480711874930372E-2</v>
      </c>
      <c r="H18" s="352" t="s">
        <v>366</v>
      </c>
      <c r="I18" s="412" t="s">
        <v>21</v>
      </c>
      <c r="J18" s="256" t="s">
        <v>55</v>
      </c>
      <c r="K18" s="256" t="s">
        <v>67</v>
      </c>
      <c r="L18" s="330">
        <v>1945.39</v>
      </c>
      <c r="M18" s="330">
        <v>0.44</v>
      </c>
      <c r="N18" s="330">
        <v>3811.22</v>
      </c>
      <c r="O18" s="409"/>
      <c r="P18" s="410"/>
    </row>
    <row r="19" spans="1:16" x14ac:dyDescent="0.25">
      <c r="A19" s="336" t="s">
        <v>2</v>
      </c>
      <c r="B19" s="415">
        <f>SUM(D9:F9)</f>
        <v>47313.380000000005</v>
      </c>
      <c r="D19" s="336" t="s">
        <v>78</v>
      </c>
      <c r="F19" s="360">
        <f>O27/B21</f>
        <v>0.14957332657618913</v>
      </c>
      <c r="H19" s="352" t="s">
        <v>366</v>
      </c>
      <c r="I19" s="412" t="s">
        <v>21</v>
      </c>
      <c r="J19" s="256" t="s">
        <v>55</v>
      </c>
      <c r="K19" s="256" t="s">
        <v>68</v>
      </c>
      <c r="L19" s="330">
        <v>0</v>
      </c>
      <c r="M19" s="330">
        <v>460.87</v>
      </c>
      <c r="N19" s="330">
        <v>2883.78</v>
      </c>
      <c r="O19" s="409"/>
      <c r="P19" s="410"/>
    </row>
    <row r="20" spans="1:16" x14ac:dyDescent="0.25">
      <c r="A20" s="336" t="s">
        <v>3</v>
      </c>
      <c r="B20" s="415">
        <f>SUM(D8:F8)</f>
        <v>7505.13</v>
      </c>
      <c r="D20" s="481" t="s">
        <v>42</v>
      </c>
      <c r="E20" s="481"/>
      <c r="F20" s="360">
        <f>O31/B21</f>
        <v>0.42024590909007076</v>
      </c>
      <c r="H20" s="352" t="s">
        <v>366</v>
      </c>
      <c r="I20" s="412" t="s">
        <v>21</v>
      </c>
      <c r="J20" s="256" t="s">
        <v>55</v>
      </c>
      <c r="K20" s="256" t="s">
        <v>72</v>
      </c>
      <c r="L20" s="330">
        <v>13546.14</v>
      </c>
      <c r="M20" s="330">
        <v>30293.200000000001</v>
      </c>
      <c r="N20" s="330">
        <v>87965.8</v>
      </c>
      <c r="O20" s="409"/>
      <c r="P20" s="410"/>
    </row>
    <row r="21" spans="1:16" ht="15.75" thickBot="1" x14ac:dyDescent="0.3">
      <c r="A21" s="361"/>
      <c r="B21" s="416">
        <f>SUM(B17:B20)</f>
        <v>1165581.1499999999</v>
      </c>
      <c r="F21" s="363">
        <f>SUM(F17:F20)</f>
        <v>0.92039372805574304</v>
      </c>
      <c r="H21" s="352" t="s">
        <v>366</v>
      </c>
      <c r="I21" s="412" t="s">
        <v>21</v>
      </c>
      <c r="J21" s="256" t="s">
        <v>183</v>
      </c>
      <c r="K21" s="256" t="s">
        <v>360</v>
      </c>
      <c r="L21" s="330">
        <v>367.71</v>
      </c>
      <c r="M21" s="330">
        <v>335.48</v>
      </c>
      <c r="N21" s="330">
        <v>3773.35</v>
      </c>
      <c r="O21" s="409"/>
      <c r="P21" s="410"/>
    </row>
    <row r="22" spans="1:16" x14ac:dyDescent="0.25">
      <c r="E22" s="390" t="s">
        <v>356</v>
      </c>
      <c r="F22" s="417">
        <v>250</v>
      </c>
      <c r="H22" s="352" t="s">
        <v>366</v>
      </c>
      <c r="I22" s="412" t="s">
        <v>21</v>
      </c>
      <c r="J22" s="256" t="s">
        <v>183</v>
      </c>
      <c r="K22" s="256" t="s">
        <v>361</v>
      </c>
      <c r="L22" s="330">
        <v>841.77</v>
      </c>
      <c r="M22" s="330">
        <v>31.14</v>
      </c>
      <c r="N22" s="330">
        <v>3561.74</v>
      </c>
      <c r="O22" s="409"/>
      <c r="P22" s="410"/>
    </row>
    <row r="23" spans="1:16" x14ac:dyDescent="0.25">
      <c r="E23" s="390"/>
      <c r="F23" s="417"/>
      <c r="H23" s="352" t="s">
        <v>366</v>
      </c>
      <c r="I23" s="412"/>
      <c r="J23" s="256" t="s">
        <v>183</v>
      </c>
      <c r="K23" s="256" t="s">
        <v>362</v>
      </c>
      <c r="L23" s="330">
        <v>327.39</v>
      </c>
      <c r="M23" s="330">
        <v>46.69</v>
      </c>
      <c r="N23" s="330">
        <v>1360.1</v>
      </c>
      <c r="O23" s="409"/>
      <c r="P23" s="410"/>
    </row>
    <row r="24" spans="1:16" x14ac:dyDescent="0.25">
      <c r="H24" s="352" t="s">
        <v>366</v>
      </c>
      <c r="I24" s="412" t="s">
        <v>21</v>
      </c>
      <c r="J24" s="256" t="s">
        <v>183</v>
      </c>
      <c r="K24" s="256" t="s">
        <v>363</v>
      </c>
      <c r="L24" s="330">
        <v>195.52</v>
      </c>
      <c r="M24" s="330">
        <v>264.16000000000003</v>
      </c>
      <c r="N24" s="330">
        <v>1174.9000000000001</v>
      </c>
      <c r="O24" s="409"/>
      <c r="P24" s="410"/>
    </row>
    <row r="25" spans="1:16" x14ac:dyDescent="0.25">
      <c r="H25" s="352" t="s">
        <v>366</v>
      </c>
      <c r="I25" s="412" t="s">
        <v>21</v>
      </c>
      <c r="J25" s="256" t="s">
        <v>183</v>
      </c>
      <c r="K25" s="256" t="s">
        <v>364</v>
      </c>
      <c r="L25" s="330">
        <v>0</v>
      </c>
      <c r="M25" s="330">
        <v>419.42</v>
      </c>
      <c r="N25" s="330">
        <v>593.94000000000005</v>
      </c>
      <c r="O25" s="409"/>
      <c r="P25" s="410"/>
    </row>
    <row r="26" spans="1:16" x14ac:dyDescent="0.25">
      <c r="B26" s="414" t="s">
        <v>372</v>
      </c>
      <c r="H26" s="352" t="s">
        <v>366</v>
      </c>
      <c r="I26" s="412" t="s">
        <v>21</v>
      </c>
      <c r="J26" s="256" t="s">
        <v>183</v>
      </c>
      <c r="K26" s="256" t="s">
        <v>365</v>
      </c>
      <c r="L26" s="330">
        <v>265.7</v>
      </c>
      <c r="M26" s="330">
        <v>317.49</v>
      </c>
      <c r="N26" s="330">
        <v>1038.8800000000001</v>
      </c>
      <c r="O26" s="409"/>
      <c r="P26" s="410"/>
    </row>
    <row r="27" spans="1:16" x14ac:dyDescent="0.25">
      <c r="H27" s="352" t="s">
        <v>366</v>
      </c>
      <c r="I27" s="412" t="s">
        <v>21</v>
      </c>
      <c r="J27" s="256" t="s">
        <v>183</v>
      </c>
      <c r="K27" s="256" t="s">
        <v>72</v>
      </c>
      <c r="L27" s="330">
        <v>1482.98</v>
      </c>
      <c r="M27" s="330">
        <v>435.78</v>
      </c>
      <c r="N27" s="330">
        <v>6649.14</v>
      </c>
      <c r="O27" s="401">
        <f>SUM(L14:N27)</f>
        <v>174339.85000000006</v>
      </c>
      <c r="P27" s="365" t="s">
        <v>110</v>
      </c>
    </row>
    <row r="28" spans="1:16" x14ac:dyDescent="0.25">
      <c r="H28" s="366" t="s">
        <v>366</v>
      </c>
      <c r="I28" s="366" t="s">
        <v>43</v>
      </c>
      <c r="J28" s="413" t="s">
        <v>21</v>
      </c>
      <c r="K28" s="413" t="s">
        <v>21</v>
      </c>
      <c r="L28" s="331">
        <v>27438.52</v>
      </c>
      <c r="M28" s="331">
        <v>38093.74</v>
      </c>
      <c r="N28" s="331">
        <v>137120.37</v>
      </c>
      <c r="O28" s="409"/>
      <c r="P28" s="410"/>
    </row>
    <row r="29" spans="1:16" x14ac:dyDescent="0.25">
      <c r="H29" s="366" t="s">
        <v>366</v>
      </c>
      <c r="I29" s="366" t="s">
        <v>45</v>
      </c>
      <c r="J29" s="413" t="s">
        <v>21</v>
      </c>
      <c r="K29" s="413" t="s">
        <v>21</v>
      </c>
      <c r="L29" s="331">
        <v>26971.41</v>
      </c>
      <c r="M29" s="331">
        <v>25692.89</v>
      </c>
      <c r="N29" s="331">
        <v>132444.13</v>
      </c>
      <c r="O29" s="409"/>
      <c r="P29" s="410"/>
    </row>
    <row r="30" spans="1:16" x14ac:dyDescent="0.25">
      <c r="H30" s="366" t="s">
        <v>366</v>
      </c>
      <c r="I30" s="366" t="s">
        <v>46</v>
      </c>
      <c r="J30" s="413" t="s">
        <v>21</v>
      </c>
      <c r="K30" s="413" t="s">
        <v>21</v>
      </c>
      <c r="L30" s="331">
        <v>7238.06</v>
      </c>
      <c r="M30" s="331">
        <v>14068.59</v>
      </c>
      <c r="N30" s="331">
        <v>48622.02</v>
      </c>
      <c r="O30" s="409"/>
      <c r="P30" s="410"/>
    </row>
    <row r="31" spans="1:16" x14ac:dyDescent="0.25">
      <c r="D31" s="345"/>
      <c r="E31" s="345"/>
      <c r="F31" s="345"/>
      <c r="H31" s="366" t="s">
        <v>366</v>
      </c>
      <c r="I31" s="366" t="s">
        <v>50</v>
      </c>
      <c r="J31" s="413" t="s">
        <v>21</v>
      </c>
      <c r="K31" s="413" t="s">
        <v>21</v>
      </c>
      <c r="L31" s="331">
        <v>6972.89</v>
      </c>
      <c r="M31" s="331">
        <v>12562.15</v>
      </c>
      <c r="N31" s="331">
        <v>12605.94</v>
      </c>
      <c r="O31" s="403">
        <f>SUM(L28:N31)</f>
        <v>489830.71000000008</v>
      </c>
      <c r="P31" s="369" t="s">
        <v>369</v>
      </c>
    </row>
    <row r="32" spans="1:16" x14ac:dyDescent="0.25">
      <c r="D32" s="345"/>
      <c r="E32" s="345"/>
      <c r="F32" s="345"/>
      <c r="H32" s="340" t="s">
        <v>366</v>
      </c>
      <c r="I32" s="407" t="s">
        <v>21</v>
      </c>
      <c r="J32" s="407" t="s">
        <v>21</v>
      </c>
      <c r="K32" s="407" t="s">
        <v>21</v>
      </c>
      <c r="L32" s="418">
        <v>10926.73</v>
      </c>
      <c r="M32" s="418">
        <v>204992.24</v>
      </c>
      <c r="N32" s="418">
        <v>24511.22</v>
      </c>
      <c r="O32" s="409"/>
      <c r="P32" s="410"/>
    </row>
    <row r="33" spans="8:16" x14ac:dyDescent="0.25">
      <c r="H33" s="113" t="s">
        <v>366</v>
      </c>
      <c r="I33" s="113" t="s">
        <v>43</v>
      </c>
      <c r="J33" s="113" t="s">
        <v>52</v>
      </c>
      <c r="K33" s="113" t="s">
        <v>178</v>
      </c>
      <c r="L33" s="314">
        <v>0</v>
      </c>
      <c r="M33" s="314">
        <v>0</v>
      </c>
      <c r="N33" s="314">
        <v>1961.93</v>
      </c>
      <c r="O33" s="409"/>
      <c r="P33" s="410"/>
    </row>
    <row r="34" spans="8:16" x14ac:dyDescent="0.25">
      <c r="H34" s="113" t="s">
        <v>366</v>
      </c>
      <c r="I34" s="113" t="s">
        <v>43</v>
      </c>
      <c r="J34" s="113" t="s">
        <v>55</v>
      </c>
      <c r="K34" s="113" t="s">
        <v>182</v>
      </c>
      <c r="L34" s="314">
        <v>0</v>
      </c>
      <c r="M34" s="314">
        <v>0</v>
      </c>
      <c r="N34" s="314">
        <v>0</v>
      </c>
      <c r="O34" s="409"/>
      <c r="P34" s="410"/>
    </row>
    <row r="35" spans="8:16" x14ac:dyDescent="0.25">
      <c r="H35" s="113" t="s">
        <v>366</v>
      </c>
      <c r="I35" s="113" t="s">
        <v>43</v>
      </c>
      <c r="J35" s="113" t="s">
        <v>55</v>
      </c>
      <c r="K35" s="113" t="s">
        <v>54</v>
      </c>
      <c r="L35" s="314">
        <v>0</v>
      </c>
      <c r="M35" s="314">
        <v>67.930000000000007</v>
      </c>
      <c r="N35" s="314">
        <v>0</v>
      </c>
      <c r="O35" s="409"/>
      <c r="P35" s="410"/>
    </row>
    <row r="36" spans="8:16" x14ac:dyDescent="0.25">
      <c r="H36" s="113" t="s">
        <v>366</v>
      </c>
      <c r="I36" s="113" t="s">
        <v>43</v>
      </c>
      <c r="J36" s="113" t="s">
        <v>55</v>
      </c>
      <c r="K36" s="113" t="s">
        <v>72</v>
      </c>
      <c r="L36" s="314">
        <v>175.28</v>
      </c>
      <c r="M36" s="314">
        <v>502.85</v>
      </c>
      <c r="N36" s="314">
        <v>544.28</v>
      </c>
      <c r="O36" s="409"/>
      <c r="P36" s="410"/>
    </row>
    <row r="37" spans="8:16" x14ac:dyDescent="0.25">
      <c r="H37" s="113" t="s">
        <v>366</v>
      </c>
      <c r="I37" s="113" t="s">
        <v>43</v>
      </c>
      <c r="J37" s="113" t="s">
        <v>183</v>
      </c>
      <c r="K37" s="113" t="s">
        <v>360</v>
      </c>
      <c r="L37" s="314">
        <v>1950.22</v>
      </c>
      <c r="M37" s="314">
        <v>0</v>
      </c>
      <c r="N37" s="314">
        <v>1704.28</v>
      </c>
      <c r="O37" s="409"/>
      <c r="P37" s="410"/>
    </row>
    <row r="38" spans="8:16" x14ac:dyDescent="0.25">
      <c r="H38" s="113" t="s">
        <v>366</v>
      </c>
      <c r="I38" s="113" t="s">
        <v>43</v>
      </c>
      <c r="J38" s="113" t="s">
        <v>183</v>
      </c>
      <c r="K38" s="113" t="s">
        <v>361</v>
      </c>
      <c r="L38" s="314">
        <v>76.42</v>
      </c>
      <c r="M38" s="314">
        <v>0</v>
      </c>
      <c r="N38" s="314">
        <v>555.28</v>
      </c>
      <c r="O38" s="409"/>
      <c r="P38" s="410"/>
    </row>
    <row r="39" spans="8:16" x14ac:dyDescent="0.25">
      <c r="H39" s="113" t="s">
        <v>366</v>
      </c>
      <c r="I39" s="113" t="s">
        <v>43</v>
      </c>
      <c r="J39" s="113" t="s">
        <v>183</v>
      </c>
      <c r="K39" s="113" t="s">
        <v>362</v>
      </c>
      <c r="L39" s="314">
        <v>0</v>
      </c>
      <c r="M39" s="314">
        <v>0</v>
      </c>
      <c r="N39" s="314">
        <v>1193.3800000000001</v>
      </c>
      <c r="O39" s="409"/>
      <c r="P39" s="410"/>
    </row>
    <row r="40" spans="8:16" x14ac:dyDescent="0.25">
      <c r="H40" s="113" t="s">
        <v>366</v>
      </c>
      <c r="I40" s="113" t="s">
        <v>43</v>
      </c>
      <c r="J40" s="113" t="s">
        <v>183</v>
      </c>
      <c r="K40" s="113" t="s">
        <v>363</v>
      </c>
      <c r="L40" s="314">
        <v>0</v>
      </c>
      <c r="M40" s="314">
        <v>677.04</v>
      </c>
      <c r="N40" s="314">
        <v>793.94</v>
      </c>
      <c r="O40" s="409"/>
      <c r="P40" s="410"/>
    </row>
    <row r="41" spans="8:16" x14ac:dyDescent="0.25">
      <c r="H41" s="113" t="s">
        <v>366</v>
      </c>
      <c r="I41" s="113" t="s">
        <v>45</v>
      </c>
      <c r="J41" s="113" t="s">
        <v>55</v>
      </c>
      <c r="K41" s="113" t="s">
        <v>72</v>
      </c>
      <c r="L41" s="314">
        <v>0</v>
      </c>
      <c r="M41" s="314">
        <v>73.8</v>
      </c>
      <c r="N41" s="314">
        <v>101.68</v>
      </c>
      <c r="O41" s="409"/>
      <c r="P41" s="410"/>
    </row>
    <row r="42" spans="8:16" x14ac:dyDescent="0.25">
      <c r="H42" s="113" t="s">
        <v>366</v>
      </c>
      <c r="I42" s="113" t="s">
        <v>45</v>
      </c>
      <c r="J42" s="113" t="s">
        <v>183</v>
      </c>
      <c r="K42" s="113" t="s">
        <v>360</v>
      </c>
      <c r="L42" s="314">
        <v>818.14</v>
      </c>
      <c r="M42" s="314">
        <v>241.13</v>
      </c>
      <c r="N42" s="314">
        <v>1450.66</v>
      </c>
      <c r="O42" s="409"/>
      <c r="P42" s="410"/>
    </row>
    <row r="43" spans="8:16" x14ac:dyDescent="0.25">
      <c r="H43" s="113" t="s">
        <v>366</v>
      </c>
      <c r="I43" s="113" t="s">
        <v>45</v>
      </c>
      <c r="J43" s="113" t="s">
        <v>183</v>
      </c>
      <c r="K43" s="113" t="s">
        <v>361</v>
      </c>
      <c r="L43" s="314">
        <v>0</v>
      </c>
      <c r="M43" s="314">
        <v>0</v>
      </c>
      <c r="N43" s="314">
        <v>1742.95</v>
      </c>
      <c r="O43" s="409"/>
      <c r="P43" s="410"/>
    </row>
    <row r="44" spans="8:16" x14ac:dyDescent="0.25">
      <c r="H44" s="113" t="s">
        <v>366</v>
      </c>
      <c r="I44" s="113" t="s">
        <v>45</v>
      </c>
      <c r="J44" s="113" t="s">
        <v>183</v>
      </c>
      <c r="K44" s="113" t="s">
        <v>362</v>
      </c>
      <c r="L44" s="314">
        <v>0</v>
      </c>
      <c r="M44" s="314">
        <v>66.63</v>
      </c>
      <c r="N44" s="314">
        <v>1097.29</v>
      </c>
      <c r="O44" s="409"/>
      <c r="P44" s="410"/>
    </row>
    <row r="45" spans="8:16" x14ac:dyDescent="0.25">
      <c r="H45" s="113" t="s">
        <v>366</v>
      </c>
      <c r="I45" s="113" t="s">
        <v>45</v>
      </c>
      <c r="J45" s="113" t="s">
        <v>183</v>
      </c>
      <c r="K45" s="113" t="s">
        <v>363</v>
      </c>
      <c r="L45" s="314">
        <v>423.37</v>
      </c>
      <c r="M45" s="314">
        <v>207.3</v>
      </c>
      <c r="N45" s="314">
        <v>977.95</v>
      </c>
      <c r="O45" s="409"/>
      <c r="P45" s="410"/>
    </row>
    <row r="46" spans="8:16" x14ac:dyDescent="0.25">
      <c r="H46" s="113" t="s">
        <v>366</v>
      </c>
      <c r="I46" s="113" t="s">
        <v>45</v>
      </c>
      <c r="J46" s="113" t="s">
        <v>183</v>
      </c>
      <c r="K46" s="113" t="s">
        <v>364</v>
      </c>
      <c r="L46" s="314">
        <v>196.54</v>
      </c>
      <c r="M46" s="314">
        <v>686.43</v>
      </c>
      <c r="N46" s="314">
        <v>2657.91</v>
      </c>
      <c r="O46" s="409"/>
      <c r="P46" s="410"/>
    </row>
    <row r="47" spans="8:16" x14ac:dyDescent="0.25">
      <c r="H47" s="113" t="s">
        <v>366</v>
      </c>
      <c r="I47" s="113" t="s">
        <v>45</v>
      </c>
      <c r="J47" s="113" t="s">
        <v>183</v>
      </c>
      <c r="K47" s="113" t="s">
        <v>365</v>
      </c>
      <c r="L47" s="314">
        <v>214.37</v>
      </c>
      <c r="M47" s="314">
        <v>206.95</v>
      </c>
      <c r="N47" s="314">
        <v>3959.43</v>
      </c>
      <c r="O47" s="409"/>
      <c r="P47" s="410"/>
    </row>
    <row r="48" spans="8:16" x14ac:dyDescent="0.25">
      <c r="H48" s="113" t="s">
        <v>366</v>
      </c>
      <c r="I48" s="113" t="s">
        <v>46</v>
      </c>
      <c r="J48" s="113" t="s">
        <v>55</v>
      </c>
      <c r="K48" s="113" t="s">
        <v>72</v>
      </c>
      <c r="L48" s="314">
        <v>405.46</v>
      </c>
      <c r="M48" s="314">
        <v>0</v>
      </c>
      <c r="N48" s="314">
        <v>974.57</v>
      </c>
      <c r="O48" s="409"/>
      <c r="P48" s="410"/>
    </row>
    <row r="49" spans="8:16" x14ac:dyDescent="0.25">
      <c r="H49" s="113" t="s">
        <v>366</v>
      </c>
      <c r="I49" s="113" t="s">
        <v>46</v>
      </c>
      <c r="J49" s="113" t="s">
        <v>183</v>
      </c>
      <c r="K49" s="113" t="s">
        <v>360</v>
      </c>
      <c r="L49" s="314">
        <v>0</v>
      </c>
      <c r="M49" s="314">
        <v>0</v>
      </c>
      <c r="N49" s="314">
        <v>2125.33</v>
      </c>
      <c r="O49" s="409"/>
      <c r="P49" s="410"/>
    </row>
    <row r="50" spans="8:16" x14ac:dyDescent="0.25">
      <c r="H50" s="113" t="s">
        <v>366</v>
      </c>
      <c r="I50" s="113" t="s">
        <v>46</v>
      </c>
      <c r="J50" s="113" t="s">
        <v>183</v>
      </c>
      <c r="K50" s="113" t="s">
        <v>361</v>
      </c>
      <c r="L50" s="314">
        <v>0</v>
      </c>
      <c r="M50" s="314">
        <v>0</v>
      </c>
      <c r="N50" s="314">
        <v>1448.91</v>
      </c>
      <c r="O50" s="409"/>
      <c r="P50" s="410"/>
    </row>
    <row r="51" spans="8:16" x14ac:dyDescent="0.25">
      <c r="H51" s="113" t="s">
        <v>366</v>
      </c>
      <c r="I51" s="113" t="s">
        <v>46</v>
      </c>
      <c r="J51" s="113" t="s">
        <v>183</v>
      </c>
      <c r="K51" s="113" t="s">
        <v>362</v>
      </c>
      <c r="L51" s="314">
        <v>0</v>
      </c>
      <c r="M51" s="314">
        <v>0</v>
      </c>
      <c r="N51" s="314">
        <v>1366.25</v>
      </c>
      <c r="O51" s="409"/>
      <c r="P51" s="410"/>
    </row>
    <row r="52" spans="8:16" x14ac:dyDescent="0.25">
      <c r="H52" s="113" t="s">
        <v>366</v>
      </c>
      <c r="I52" s="113" t="s">
        <v>46</v>
      </c>
      <c r="J52" s="113" t="s">
        <v>183</v>
      </c>
      <c r="K52" s="113" t="s">
        <v>363</v>
      </c>
      <c r="L52" s="314">
        <v>737.5</v>
      </c>
      <c r="M52" s="314">
        <v>0</v>
      </c>
      <c r="N52" s="314">
        <v>498.08</v>
      </c>
      <c r="O52" s="409"/>
      <c r="P52" s="410"/>
    </row>
    <row r="53" spans="8:16" x14ac:dyDescent="0.25">
      <c r="H53" s="113" t="s">
        <v>366</v>
      </c>
      <c r="I53" s="113" t="s">
        <v>46</v>
      </c>
      <c r="J53" s="113" t="s">
        <v>183</v>
      </c>
      <c r="K53" s="113" t="s">
        <v>72</v>
      </c>
      <c r="L53" s="314">
        <v>0</v>
      </c>
      <c r="M53" s="314">
        <v>0</v>
      </c>
      <c r="N53" s="314">
        <v>467.19</v>
      </c>
      <c r="O53" s="409"/>
      <c r="P53" s="410"/>
    </row>
    <row r="54" spans="8:16" x14ac:dyDescent="0.25">
      <c r="H54" s="340" t="s">
        <v>366</v>
      </c>
      <c r="I54" s="340" t="s">
        <v>50</v>
      </c>
      <c r="J54" s="340" t="s">
        <v>52</v>
      </c>
      <c r="K54" s="340" t="s">
        <v>178</v>
      </c>
      <c r="L54" s="419">
        <v>190.09</v>
      </c>
      <c r="M54" s="419">
        <v>1975</v>
      </c>
      <c r="N54" s="419">
        <v>6156.2</v>
      </c>
      <c r="O54" s="409"/>
      <c r="P54" s="410"/>
    </row>
    <row r="55" spans="8:16" x14ac:dyDescent="0.25">
      <c r="H55" s="340" t="s">
        <v>366</v>
      </c>
      <c r="I55" s="340" t="s">
        <v>50</v>
      </c>
      <c r="J55" s="340" t="s">
        <v>52</v>
      </c>
      <c r="K55" s="340" t="s">
        <v>72</v>
      </c>
      <c r="L55" s="419">
        <v>0</v>
      </c>
      <c r="M55" s="419">
        <v>684.67</v>
      </c>
      <c r="N55" s="419">
        <v>1064.3900000000001</v>
      </c>
      <c r="O55" s="409"/>
      <c r="P55" s="410"/>
    </row>
    <row r="56" spans="8:16" x14ac:dyDescent="0.25">
      <c r="H56" s="306" t="s">
        <v>366</v>
      </c>
      <c r="I56" s="306" t="s">
        <v>50</v>
      </c>
      <c r="J56" s="306" t="s">
        <v>55</v>
      </c>
      <c r="K56" s="306" t="s">
        <v>54</v>
      </c>
      <c r="L56" s="419">
        <v>0</v>
      </c>
      <c r="M56" s="419">
        <v>57.39</v>
      </c>
      <c r="N56" s="419">
        <v>0</v>
      </c>
    </row>
    <row r="57" spans="8:16" x14ac:dyDescent="0.25">
      <c r="H57" s="306" t="s">
        <v>366</v>
      </c>
      <c r="I57" s="306" t="s">
        <v>50</v>
      </c>
      <c r="J57" s="306" t="s">
        <v>55</v>
      </c>
      <c r="K57" s="306" t="s">
        <v>72</v>
      </c>
      <c r="L57" s="419">
        <v>390.77</v>
      </c>
      <c r="M57" s="419">
        <v>77.569999999999993</v>
      </c>
      <c r="N57" s="419">
        <v>912.39</v>
      </c>
    </row>
  </sheetData>
  <mergeCells count="13">
    <mergeCell ref="D18:E18"/>
    <mergeCell ref="D20:E20"/>
    <mergeCell ref="A1:F1"/>
    <mergeCell ref="H1:N1"/>
    <mergeCell ref="A2:F2"/>
    <mergeCell ref="H2:N2"/>
    <mergeCell ref="A3:F3"/>
    <mergeCell ref="H3:N3"/>
    <mergeCell ref="A4:F4"/>
    <mergeCell ref="H4:N4"/>
    <mergeCell ref="A5:F5"/>
    <mergeCell ref="H5:N5"/>
    <mergeCell ref="D17:E17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P47"/>
  <sheetViews>
    <sheetView zoomScale="80" zoomScaleNormal="8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2" width="11.28515625" style="336" customWidth="1"/>
    <col min="13" max="13" width="10.7109375" style="336" customWidth="1"/>
    <col min="14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366</v>
      </c>
      <c r="B8" s="340" t="s">
        <v>38</v>
      </c>
      <c r="C8" s="340" t="s">
        <v>3</v>
      </c>
      <c r="D8" s="342">
        <v>0</v>
      </c>
      <c r="E8" s="342">
        <v>1606.74</v>
      </c>
      <c r="F8" s="342">
        <v>7634.38</v>
      </c>
      <c r="H8" s="343" t="s">
        <v>366</v>
      </c>
      <c r="I8" s="343" t="s">
        <v>21</v>
      </c>
      <c r="J8" s="343" t="s">
        <v>52</v>
      </c>
      <c r="K8" s="343" t="s">
        <v>209</v>
      </c>
      <c r="L8" s="396">
        <v>447.02</v>
      </c>
      <c r="M8" s="396">
        <v>19980.52</v>
      </c>
      <c r="N8" s="396">
        <v>71316.850000000006</v>
      </c>
      <c r="O8" s="395"/>
    </row>
    <row r="9" spans="1:16" x14ac:dyDescent="0.25">
      <c r="A9" s="340" t="s">
        <v>366</v>
      </c>
      <c r="B9" s="340" t="s">
        <v>38</v>
      </c>
      <c r="C9" s="340" t="s">
        <v>323</v>
      </c>
      <c r="D9" s="342">
        <f>195971.17-192500</f>
        <v>3471.1700000000128</v>
      </c>
      <c r="E9" s="342">
        <v>427.31</v>
      </c>
      <c r="F9" s="342">
        <v>3030.48</v>
      </c>
      <c r="H9" s="343" t="s">
        <v>366</v>
      </c>
      <c r="I9" s="343" t="s">
        <v>21</v>
      </c>
      <c r="J9" s="343" t="s">
        <v>52</v>
      </c>
      <c r="K9" s="343" t="s">
        <v>178</v>
      </c>
      <c r="L9" s="396">
        <v>11055.8</v>
      </c>
      <c r="M9" s="396">
        <v>1360.51</v>
      </c>
      <c r="N9" s="396">
        <v>53112.35</v>
      </c>
      <c r="O9" s="395"/>
    </row>
    <row r="10" spans="1:16" x14ac:dyDescent="0.25">
      <c r="A10" s="340" t="s">
        <v>366</v>
      </c>
      <c r="B10" s="340" t="s">
        <v>38</v>
      </c>
      <c r="C10" s="340" t="s">
        <v>41</v>
      </c>
      <c r="D10" s="342">
        <v>151799.32999999999</v>
      </c>
      <c r="E10" s="342">
        <v>52326.17</v>
      </c>
      <c r="F10" s="342">
        <v>738851.51</v>
      </c>
      <c r="H10" s="343" t="s">
        <v>366</v>
      </c>
      <c r="I10" s="343" t="s">
        <v>21</v>
      </c>
      <c r="J10" s="343" t="s">
        <v>52</v>
      </c>
      <c r="K10" s="343" t="s">
        <v>332</v>
      </c>
      <c r="L10" s="396">
        <v>1866.52</v>
      </c>
      <c r="M10" s="396">
        <v>1109.33</v>
      </c>
      <c r="N10" s="396">
        <v>19177.759999999998</v>
      </c>
      <c r="O10" s="395"/>
    </row>
    <row r="11" spans="1:16" x14ac:dyDescent="0.25">
      <c r="A11" s="340" t="s">
        <v>366</v>
      </c>
      <c r="B11" s="340" t="s">
        <v>39</v>
      </c>
      <c r="C11" s="340" t="s">
        <v>41</v>
      </c>
      <c r="D11" s="342">
        <v>39502.980000000003</v>
      </c>
      <c r="E11" s="342">
        <v>8026.4</v>
      </c>
      <c r="F11" s="342">
        <v>119432.54</v>
      </c>
      <c r="H11" s="343" t="s">
        <v>366</v>
      </c>
      <c r="I11" s="343" t="s">
        <v>21</v>
      </c>
      <c r="J11" s="343" t="s">
        <v>52</v>
      </c>
      <c r="K11" s="343" t="s">
        <v>210</v>
      </c>
      <c r="L11" s="396">
        <v>4307.68</v>
      </c>
      <c r="M11" s="396">
        <v>66.14</v>
      </c>
      <c r="N11" s="396">
        <v>51311.9</v>
      </c>
      <c r="O11" s="395"/>
    </row>
    <row r="12" spans="1:16" x14ac:dyDescent="0.25">
      <c r="H12" s="343" t="s">
        <v>366</v>
      </c>
      <c r="I12" s="343" t="s">
        <v>21</v>
      </c>
      <c r="J12" s="343" t="s">
        <v>52</v>
      </c>
      <c r="K12" s="343" t="s">
        <v>72</v>
      </c>
      <c r="L12" s="396">
        <v>9614.15</v>
      </c>
      <c r="M12" s="396">
        <v>2298.25</v>
      </c>
      <c r="N12" s="396">
        <v>30903.8</v>
      </c>
      <c r="O12" s="397">
        <f>SUM(L8:N12)</f>
        <v>277928.58</v>
      </c>
      <c r="P12" s="347" t="s">
        <v>52</v>
      </c>
    </row>
    <row r="13" spans="1:16" x14ac:dyDescent="0.25">
      <c r="H13" s="348" t="s">
        <v>366</v>
      </c>
      <c r="I13" s="348" t="s">
        <v>21</v>
      </c>
      <c r="J13" s="348" t="s">
        <v>52</v>
      </c>
      <c r="K13" s="348" t="s">
        <v>240</v>
      </c>
      <c r="L13" s="398">
        <v>665.85</v>
      </c>
      <c r="M13" s="398">
        <v>653.29999999999995</v>
      </c>
      <c r="N13" s="398">
        <v>76198.27</v>
      </c>
      <c r="O13" s="399">
        <f>SUM(L13:N13)</f>
        <v>77517.42</v>
      </c>
      <c r="P13" s="351" t="s">
        <v>254</v>
      </c>
    </row>
    <row r="14" spans="1:16" x14ac:dyDescent="0.25">
      <c r="H14" s="352" t="s">
        <v>366</v>
      </c>
      <c r="I14" s="352" t="s">
        <v>21</v>
      </c>
      <c r="J14" s="352" t="s">
        <v>55</v>
      </c>
      <c r="K14" s="352" t="s">
        <v>182</v>
      </c>
      <c r="L14" s="400">
        <v>0</v>
      </c>
      <c r="M14" s="400">
        <v>0</v>
      </c>
      <c r="N14" s="400">
        <v>1688.87</v>
      </c>
      <c r="O14" s="395"/>
    </row>
    <row r="15" spans="1:16" x14ac:dyDescent="0.25">
      <c r="A15" s="354" t="s">
        <v>79</v>
      </c>
      <c r="B15" s="355" t="s">
        <v>80</v>
      </c>
      <c r="D15" s="356" t="s">
        <v>184</v>
      </c>
      <c r="E15" s="357"/>
      <c r="F15" s="358" t="s">
        <v>185</v>
      </c>
      <c r="H15" s="352" t="s">
        <v>366</v>
      </c>
      <c r="I15" s="352" t="s">
        <v>21</v>
      </c>
      <c r="J15" s="352" t="s">
        <v>55</v>
      </c>
      <c r="K15" s="352" t="s">
        <v>54</v>
      </c>
      <c r="L15" s="400">
        <v>19.57</v>
      </c>
      <c r="M15" s="400">
        <v>0</v>
      </c>
      <c r="N15" s="400">
        <v>2659.2</v>
      </c>
      <c r="O15" s="395"/>
    </row>
    <row r="16" spans="1:16" x14ac:dyDescent="0.25">
      <c r="A16" s="336" t="s">
        <v>38</v>
      </c>
      <c r="B16" s="359">
        <f>SUM(D10:F10)</f>
        <v>942977.01</v>
      </c>
      <c r="D16" s="502" t="s">
        <v>81</v>
      </c>
      <c r="E16" s="502"/>
      <c r="F16" s="360">
        <f>O12/B20</f>
        <v>0.24680433024863199</v>
      </c>
      <c r="H16" s="352" t="s">
        <v>366</v>
      </c>
      <c r="I16" s="352" t="s">
        <v>21</v>
      </c>
      <c r="J16" s="352" t="s">
        <v>55</v>
      </c>
      <c r="K16" s="352" t="s">
        <v>66</v>
      </c>
      <c r="L16" s="400">
        <v>1426.72</v>
      </c>
      <c r="M16" s="400">
        <v>12.45</v>
      </c>
      <c r="N16" s="400">
        <v>6109.82</v>
      </c>
      <c r="O16" s="395"/>
    </row>
    <row r="17" spans="1:16" x14ac:dyDescent="0.25">
      <c r="A17" s="336" t="s">
        <v>39</v>
      </c>
      <c r="B17" s="359">
        <f>SUM(D11:F11)</f>
        <v>166961.91999999998</v>
      </c>
      <c r="D17" s="481" t="s">
        <v>253</v>
      </c>
      <c r="E17" s="481"/>
      <c r="F17" s="360">
        <f>O13/B20</f>
        <v>6.8836515214455121E-2</v>
      </c>
      <c r="H17" s="352" t="s">
        <v>366</v>
      </c>
      <c r="I17" s="352" t="s">
        <v>21</v>
      </c>
      <c r="J17" s="352" t="s">
        <v>55</v>
      </c>
      <c r="K17" s="352" t="s">
        <v>67</v>
      </c>
      <c r="L17" s="400">
        <v>243.07</v>
      </c>
      <c r="M17" s="400">
        <v>0</v>
      </c>
      <c r="N17" s="400">
        <v>12079.57</v>
      </c>
      <c r="O17" s="395"/>
    </row>
    <row r="18" spans="1:16" x14ac:dyDescent="0.25">
      <c r="A18" s="336" t="s">
        <v>2</v>
      </c>
      <c r="B18" s="359">
        <f>SUM(D9:F9)</f>
        <v>6928.9600000000128</v>
      </c>
      <c r="D18" s="336" t="s">
        <v>78</v>
      </c>
      <c r="F18" s="360">
        <f>O25/B20</f>
        <v>0.15686643871182598</v>
      </c>
      <c r="H18" s="352" t="s">
        <v>366</v>
      </c>
      <c r="I18" s="352" t="s">
        <v>21</v>
      </c>
      <c r="J18" s="352" t="s">
        <v>55</v>
      </c>
      <c r="K18" s="352" t="s">
        <v>68</v>
      </c>
      <c r="L18" s="400">
        <v>443.46</v>
      </c>
      <c r="M18" s="400">
        <v>23.64</v>
      </c>
      <c r="N18" s="400">
        <v>5268.66</v>
      </c>
      <c r="O18" s="395"/>
    </row>
    <row r="19" spans="1:16" x14ac:dyDescent="0.25">
      <c r="A19" s="336" t="s">
        <v>3</v>
      </c>
      <c r="B19" s="359">
        <f>SUM(D8:F8)</f>
        <v>9241.1200000000008</v>
      </c>
      <c r="D19" s="481" t="s">
        <v>42</v>
      </c>
      <c r="E19" s="481"/>
      <c r="F19" s="360">
        <f>O29/B20</f>
        <v>0.43367834344918343</v>
      </c>
      <c r="H19" s="352" t="s">
        <v>366</v>
      </c>
      <c r="I19" s="352" t="s">
        <v>21</v>
      </c>
      <c r="J19" s="352" t="s">
        <v>55</v>
      </c>
      <c r="K19" s="352" t="s">
        <v>72</v>
      </c>
      <c r="L19" s="400">
        <v>25181.75</v>
      </c>
      <c r="M19" s="400">
        <v>2198.84</v>
      </c>
      <c r="N19" s="400">
        <v>92602.03</v>
      </c>
      <c r="O19" s="395"/>
    </row>
    <row r="20" spans="1:16" ht="15.75" thickBot="1" x14ac:dyDescent="0.3">
      <c r="A20" s="361"/>
      <c r="B20" s="404">
        <f>SUM(B16:B19)</f>
        <v>1126109.01</v>
      </c>
      <c r="F20" s="363">
        <f>SUM(F16:F19)</f>
        <v>0.90618562762409649</v>
      </c>
      <c r="H20" s="352" t="s">
        <v>366</v>
      </c>
      <c r="I20" s="352" t="s">
        <v>21</v>
      </c>
      <c r="J20" s="352" t="s">
        <v>183</v>
      </c>
      <c r="K20" s="352" t="s">
        <v>360</v>
      </c>
      <c r="L20" s="400">
        <v>0</v>
      </c>
      <c r="M20" s="400">
        <v>0</v>
      </c>
      <c r="N20" s="400">
        <v>437.13</v>
      </c>
      <c r="O20" s="395"/>
    </row>
    <row r="21" spans="1:16" x14ac:dyDescent="0.25">
      <c r="E21" s="393" t="s">
        <v>356</v>
      </c>
      <c r="F21" s="394">
        <v>253</v>
      </c>
      <c r="H21" s="352" t="s">
        <v>366</v>
      </c>
      <c r="I21" s="352" t="s">
        <v>21</v>
      </c>
      <c r="J21" s="352" t="s">
        <v>183</v>
      </c>
      <c r="K21" s="352" t="s">
        <v>361</v>
      </c>
      <c r="L21" s="400">
        <v>0</v>
      </c>
      <c r="M21" s="400">
        <v>0</v>
      </c>
      <c r="N21" s="400">
        <v>863.14</v>
      </c>
      <c r="O21" s="395"/>
    </row>
    <row r="22" spans="1:16" x14ac:dyDescent="0.25">
      <c r="H22" s="352" t="s">
        <v>366</v>
      </c>
      <c r="I22" s="352" t="s">
        <v>21</v>
      </c>
      <c r="J22" s="352" t="s">
        <v>183</v>
      </c>
      <c r="K22" s="352" t="s">
        <v>363</v>
      </c>
      <c r="L22" s="400">
        <v>1733.85</v>
      </c>
      <c r="M22" s="400">
        <v>813.83</v>
      </c>
      <c r="N22" s="400">
        <v>9336.6</v>
      </c>
      <c r="O22" s="395"/>
    </row>
    <row r="23" spans="1:16" x14ac:dyDescent="0.25">
      <c r="H23" s="352" t="s">
        <v>366</v>
      </c>
      <c r="I23" s="352" t="s">
        <v>21</v>
      </c>
      <c r="J23" s="352" t="s">
        <v>183</v>
      </c>
      <c r="K23" s="352" t="s">
        <v>364</v>
      </c>
      <c r="L23" s="400">
        <v>348.63</v>
      </c>
      <c r="M23" s="400">
        <v>8.89</v>
      </c>
      <c r="N23" s="400">
        <v>4335.8599999999997</v>
      </c>
      <c r="O23" s="395"/>
    </row>
    <row r="24" spans="1:16" x14ac:dyDescent="0.25">
      <c r="H24" s="352" t="s">
        <v>366</v>
      </c>
      <c r="I24" s="352" t="s">
        <v>21</v>
      </c>
      <c r="J24" s="352" t="s">
        <v>183</v>
      </c>
      <c r="K24" s="352" t="s">
        <v>365</v>
      </c>
      <c r="L24" s="400">
        <v>204.96</v>
      </c>
      <c r="M24" s="400">
        <v>0</v>
      </c>
      <c r="N24" s="400">
        <v>1688.57</v>
      </c>
      <c r="O24" s="395"/>
    </row>
    <row r="25" spans="1:16" x14ac:dyDescent="0.25">
      <c r="H25" s="352" t="s">
        <v>366</v>
      </c>
      <c r="I25" s="352" t="s">
        <v>21</v>
      </c>
      <c r="J25" s="352" t="s">
        <v>183</v>
      </c>
      <c r="K25" s="352" t="s">
        <v>72</v>
      </c>
      <c r="L25" s="400">
        <v>435.78</v>
      </c>
      <c r="M25" s="400">
        <v>0</v>
      </c>
      <c r="N25" s="400">
        <v>6483.82</v>
      </c>
      <c r="O25" s="401">
        <f>SUM(L14:N25)</f>
        <v>176648.71000000002</v>
      </c>
      <c r="P25" s="365" t="s">
        <v>110</v>
      </c>
    </row>
    <row r="26" spans="1:16" x14ac:dyDescent="0.25">
      <c r="H26" s="366" t="s">
        <v>366</v>
      </c>
      <c r="I26" s="366" t="s">
        <v>43</v>
      </c>
      <c r="J26" s="366" t="s">
        <v>21</v>
      </c>
      <c r="K26" s="366" t="s">
        <v>21</v>
      </c>
      <c r="L26" s="402">
        <v>44372.24</v>
      </c>
      <c r="M26" s="402">
        <v>6936.18</v>
      </c>
      <c r="N26" s="402">
        <v>151875.29999999999</v>
      </c>
      <c r="O26" s="395"/>
    </row>
    <row r="27" spans="1:16" x14ac:dyDescent="0.25">
      <c r="H27" s="366" t="s">
        <v>366</v>
      </c>
      <c r="I27" s="366" t="s">
        <v>45</v>
      </c>
      <c r="J27" s="366" t="s">
        <v>21</v>
      </c>
      <c r="K27" s="366" t="s">
        <v>21</v>
      </c>
      <c r="L27" s="402">
        <v>25843.1</v>
      </c>
      <c r="M27" s="402">
        <v>9741.2999999999993</v>
      </c>
      <c r="N27" s="402">
        <v>137238.74</v>
      </c>
      <c r="O27" s="395"/>
    </row>
    <row r="28" spans="1:16" x14ac:dyDescent="0.25">
      <c r="H28" s="366" t="s">
        <v>366</v>
      </c>
      <c r="I28" s="366" t="s">
        <v>46</v>
      </c>
      <c r="J28" s="366" t="s">
        <v>21</v>
      </c>
      <c r="K28" s="366" t="s">
        <v>21</v>
      </c>
      <c r="L28" s="402">
        <v>14361.67</v>
      </c>
      <c r="M28" s="402">
        <v>5084.6000000000004</v>
      </c>
      <c r="N28" s="402">
        <v>49148.42</v>
      </c>
      <c r="O28" s="395"/>
    </row>
    <row r="29" spans="1:16" x14ac:dyDescent="0.25">
      <c r="D29" s="345"/>
      <c r="E29" s="345"/>
      <c r="F29" s="345"/>
      <c r="H29" s="366" t="s">
        <v>366</v>
      </c>
      <c r="I29" s="366" t="s">
        <v>50</v>
      </c>
      <c r="J29" s="366" t="s">
        <v>21</v>
      </c>
      <c r="K29" s="366" t="s">
        <v>21</v>
      </c>
      <c r="L29" s="402">
        <v>22782.959999999999</v>
      </c>
      <c r="M29" s="402">
        <v>2576.9899999999998</v>
      </c>
      <c r="N29" s="402">
        <v>18407.59</v>
      </c>
      <c r="O29" s="403">
        <f>SUM(L26:N29)</f>
        <v>488369.08999999997</v>
      </c>
      <c r="P29" s="369" t="s">
        <v>369</v>
      </c>
    </row>
    <row r="30" spans="1:16" x14ac:dyDescent="0.25">
      <c r="D30" s="345"/>
      <c r="E30" s="345"/>
      <c r="F30" s="345"/>
      <c r="H30" s="340" t="s">
        <v>366</v>
      </c>
      <c r="I30" s="340" t="s">
        <v>21</v>
      </c>
      <c r="J30" s="340" t="s">
        <v>21</v>
      </c>
      <c r="K30" s="340" t="s">
        <v>21</v>
      </c>
      <c r="L30" s="342">
        <v>215387.3</v>
      </c>
      <c r="M30" s="342">
        <v>7253.93</v>
      </c>
      <c r="N30" s="342">
        <v>24348.1</v>
      </c>
      <c r="O30" s="395"/>
    </row>
    <row r="31" spans="1:16" x14ac:dyDescent="0.25">
      <c r="H31" s="340" t="s">
        <v>366</v>
      </c>
      <c r="I31" s="340" t="s">
        <v>43</v>
      </c>
      <c r="J31" s="340" t="s">
        <v>52</v>
      </c>
      <c r="K31" s="340" t="s">
        <v>178</v>
      </c>
      <c r="L31" s="342">
        <v>0</v>
      </c>
      <c r="M31" s="342">
        <v>0</v>
      </c>
      <c r="N31" s="342">
        <v>0</v>
      </c>
      <c r="O31" s="395"/>
    </row>
    <row r="32" spans="1:16" x14ac:dyDescent="0.25">
      <c r="H32" s="340" t="s">
        <v>366</v>
      </c>
      <c r="I32" s="340" t="s">
        <v>43</v>
      </c>
      <c r="J32" s="340" t="s">
        <v>55</v>
      </c>
      <c r="K32" s="340" t="s">
        <v>67</v>
      </c>
      <c r="L32" s="342">
        <v>0</v>
      </c>
      <c r="M32" s="342">
        <v>0</v>
      </c>
      <c r="N32" s="342">
        <v>112.47</v>
      </c>
      <c r="O32" s="395"/>
    </row>
    <row r="33" spans="8:15" x14ac:dyDescent="0.25">
      <c r="H33" s="340" t="s">
        <v>366</v>
      </c>
      <c r="I33" s="340" t="s">
        <v>43</v>
      </c>
      <c r="J33" s="340" t="s">
        <v>55</v>
      </c>
      <c r="K33" s="340" t="s">
        <v>72</v>
      </c>
      <c r="L33" s="342">
        <v>0</v>
      </c>
      <c r="M33" s="342">
        <v>0</v>
      </c>
      <c r="N33" s="342">
        <v>1055.68</v>
      </c>
      <c r="O33" s="395"/>
    </row>
    <row r="34" spans="8:15" x14ac:dyDescent="0.25">
      <c r="H34" s="340" t="s">
        <v>366</v>
      </c>
      <c r="I34" s="340" t="s">
        <v>43</v>
      </c>
      <c r="J34" s="340" t="s">
        <v>183</v>
      </c>
      <c r="K34" s="340" t="s">
        <v>363</v>
      </c>
      <c r="L34" s="342">
        <v>0</v>
      </c>
      <c r="M34" s="342">
        <v>0</v>
      </c>
      <c r="N34" s="342">
        <v>3807.63</v>
      </c>
      <c r="O34" s="395"/>
    </row>
    <row r="35" spans="8:15" x14ac:dyDescent="0.25">
      <c r="H35" s="340" t="s">
        <v>366</v>
      </c>
      <c r="I35" s="340" t="s">
        <v>43</v>
      </c>
      <c r="J35" s="340" t="s">
        <v>183</v>
      </c>
      <c r="K35" s="340" t="s">
        <v>364</v>
      </c>
      <c r="L35" s="342">
        <v>0</v>
      </c>
      <c r="M35" s="342">
        <v>201.22</v>
      </c>
      <c r="N35" s="342">
        <v>1092.1600000000001</v>
      </c>
      <c r="O35" s="395"/>
    </row>
    <row r="36" spans="8:15" x14ac:dyDescent="0.25">
      <c r="H36" s="340" t="s">
        <v>366</v>
      </c>
      <c r="I36" s="340" t="s">
        <v>43</v>
      </c>
      <c r="J36" s="340" t="s">
        <v>183</v>
      </c>
      <c r="K36" s="340" t="s">
        <v>365</v>
      </c>
      <c r="L36" s="342">
        <v>0</v>
      </c>
      <c r="M36" s="342">
        <v>0</v>
      </c>
      <c r="N36" s="342">
        <v>126.68</v>
      </c>
      <c r="O36" s="395"/>
    </row>
    <row r="37" spans="8:15" x14ac:dyDescent="0.25">
      <c r="H37" s="340" t="s">
        <v>366</v>
      </c>
      <c r="I37" s="340" t="s">
        <v>45</v>
      </c>
      <c r="J37" s="340" t="s">
        <v>183</v>
      </c>
      <c r="K37" s="340" t="s">
        <v>360</v>
      </c>
      <c r="L37" s="342">
        <v>0</v>
      </c>
      <c r="M37" s="342">
        <v>0</v>
      </c>
      <c r="N37" s="342">
        <v>547.64</v>
      </c>
      <c r="O37" s="395"/>
    </row>
    <row r="38" spans="8:15" x14ac:dyDescent="0.25">
      <c r="H38" s="340" t="s">
        <v>366</v>
      </c>
      <c r="I38" s="340" t="s">
        <v>45</v>
      </c>
      <c r="J38" s="340" t="s">
        <v>183</v>
      </c>
      <c r="K38" s="340" t="s">
        <v>363</v>
      </c>
      <c r="L38" s="342">
        <v>1166.31</v>
      </c>
      <c r="M38" s="342">
        <v>474.12</v>
      </c>
      <c r="N38" s="342">
        <v>8755.7800000000007</v>
      </c>
      <c r="O38" s="395"/>
    </row>
    <row r="39" spans="8:15" x14ac:dyDescent="0.25">
      <c r="H39" s="340" t="s">
        <v>366</v>
      </c>
      <c r="I39" s="340" t="s">
        <v>45</v>
      </c>
      <c r="J39" s="340" t="s">
        <v>183</v>
      </c>
      <c r="K39" s="340" t="s">
        <v>364</v>
      </c>
      <c r="L39" s="342">
        <v>809.12</v>
      </c>
      <c r="M39" s="342">
        <v>319.58</v>
      </c>
      <c r="N39" s="342">
        <v>7758.28</v>
      </c>
      <c r="O39" s="395"/>
    </row>
    <row r="40" spans="8:15" x14ac:dyDescent="0.25">
      <c r="H40" s="340" t="s">
        <v>366</v>
      </c>
      <c r="I40" s="340" t="s">
        <v>45</v>
      </c>
      <c r="J40" s="340" t="s">
        <v>183</v>
      </c>
      <c r="K40" s="340" t="s">
        <v>365</v>
      </c>
      <c r="L40" s="342">
        <v>332.23</v>
      </c>
      <c r="M40" s="342">
        <v>242.3</v>
      </c>
      <c r="N40" s="342">
        <v>1561.58</v>
      </c>
      <c r="O40" s="395"/>
    </row>
    <row r="41" spans="8:15" x14ac:dyDescent="0.25">
      <c r="H41" s="340" t="s">
        <v>366</v>
      </c>
      <c r="I41" s="340" t="s">
        <v>46</v>
      </c>
      <c r="J41" s="340" t="s">
        <v>52</v>
      </c>
      <c r="K41" s="340" t="s">
        <v>178</v>
      </c>
      <c r="L41" s="342">
        <v>1272.27</v>
      </c>
      <c r="M41" s="342">
        <v>0</v>
      </c>
      <c r="N41" s="342">
        <v>2162.7199999999998</v>
      </c>
      <c r="O41" s="395"/>
    </row>
    <row r="42" spans="8:15" x14ac:dyDescent="0.25">
      <c r="H42" s="340" t="s">
        <v>366</v>
      </c>
      <c r="I42" s="340" t="s">
        <v>46</v>
      </c>
      <c r="J42" s="340" t="s">
        <v>183</v>
      </c>
      <c r="K42" s="340" t="s">
        <v>363</v>
      </c>
      <c r="L42" s="342">
        <v>241.09</v>
      </c>
      <c r="M42" s="342">
        <v>267.64</v>
      </c>
      <c r="N42" s="342">
        <v>3452.08</v>
      </c>
      <c r="O42" s="395"/>
    </row>
    <row r="43" spans="8:15" x14ac:dyDescent="0.25">
      <c r="H43" s="340" t="s">
        <v>366</v>
      </c>
      <c r="I43" s="340" t="s">
        <v>46</v>
      </c>
      <c r="J43" s="340" t="s">
        <v>183</v>
      </c>
      <c r="K43" s="340" t="s">
        <v>364</v>
      </c>
      <c r="L43" s="342">
        <v>0</v>
      </c>
      <c r="M43" s="342">
        <v>395.78</v>
      </c>
      <c r="N43" s="342">
        <v>1142.8900000000001</v>
      </c>
      <c r="O43" s="395"/>
    </row>
    <row r="44" spans="8:15" x14ac:dyDescent="0.25">
      <c r="H44" s="340" t="s">
        <v>366</v>
      </c>
      <c r="I44" s="340" t="s">
        <v>46</v>
      </c>
      <c r="J44" s="340" t="s">
        <v>183</v>
      </c>
      <c r="K44" s="340" t="s">
        <v>365</v>
      </c>
      <c r="L44" s="342">
        <v>0</v>
      </c>
      <c r="M44" s="342">
        <v>367.28</v>
      </c>
      <c r="N44" s="342">
        <v>1103.97</v>
      </c>
      <c r="O44" s="395"/>
    </row>
    <row r="45" spans="8:15" x14ac:dyDescent="0.25">
      <c r="H45" s="340" t="s">
        <v>366</v>
      </c>
      <c r="I45" s="340" t="s">
        <v>50</v>
      </c>
      <c r="J45" s="340" t="s">
        <v>52</v>
      </c>
      <c r="K45" s="340" t="s">
        <v>178</v>
      </c>
      <c r="L45" s="342">
        <v>2710.38</v>
      </c>
      <c r="M45" s="342">
        <v>0</v>
      </c>
      <c r="N45" s="342">
        <v>9675.83</v>
      </c>
      <c r="O45" s="395"/>
    </row>
    <row r="46" spans="8:15" x14ac:dyDescent="0.25">
      <c r="H46" s="340" t="s">
        <v>366</v>
      </c>
      <c r="I46" s="340" t="s">
        <v>50</v>
      </c>
      <c r="J46" s="340" t="s">
        <v>52</v>
      </c>
      <c r="K46" s="340" t="s">
        <v>332</v>
      </c>
      <c r="L46" s="342">
        <v>0</v>
      </c>
      <c r="M46" s="342">
        <v>0</v>
      </c>
      <c r="N46" s="342">
        <v>1.17</v>
      </c>
      <c r="O46" s="395"/>
    </row>
    <row r="47" spans="8:15" x14ac:dyDescent="0.25">
      <c r="H47" s="340" t="s">
        <v>366</v>
      </c>
      <c r="I47" s="340" t="s">
        <v>50</v>
      </c>
      <c r="J47" s="340" t="s">
        <v>52</v>
      </c>
      <c r="K47" s="340" t="s">
        <v>72</v>
      </c>
      <c r="L47" s="342">
        <v>0</v>
      </c>
      <c r="M47" s="342">
        <v>0</v>
      </c>
      <c r="N47" s="342">
        <v>0</v>
      </c>
      <c r="O47" s="395"/>
    </row>
  </sheetData>
  <mergeCells count="13">
    <mergeCell ref="A1:F1"/>
    <mergeCell ref="H1:N1"/>
    <mergeCell ref="A2:F2"/>
    <mergeCell ref="H2:N2"/>
    <mergeCell ref="A3:F3"/>
    <mergeCell ref="H3:N3"/>
    <mergeCell ref="D19:E19"/>
    <mergeCell ref="A4:F4"/>
    <mergeCell ref="H4:N4"/>
    <mergeCell ref="A5:F5"/>
    <mergeCell ref="H5:N5"/>
    <mergeCell ref="D16:E16"/>
    <mergeCell ref="D17:E17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P86"/>
  <sheetViews>
    <sheetView zoomScale="80" zoomScaleNormal="80" workbookViewId="0">
      <selection activeCell="D11" sqref="D11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366</v>
      </c>
      <c r="B8" s="340" t="s">
        <v>38</v>
      </c>
      <c r="C8" s="340" t="s">
        <v>3</v>
      </c>
      <c r="D8" s="342">
        <v>1646.88</v>
      </c>
      <c r="E8" s="342">
        <v>0</v>
      </c>
      <c r="F8" s="342">
        <v>7734.95</v>
      </c>
      <c r="H8" s="343" t="s">
        <v>366</v>
      </c>
      <c r="I8" s="343" t="s">
        <v>21</v>
      </c>
      <c r="J8" s="343" t="s">
        <v>52</v>
      </c>
      <c r="K8" s="343" t="s">
        <v>209</v>
      </c>
      <c r="L8" s="344">
        <v>227.85</v>
      </c>
      <c r="M8" s="344">
        <v>27497.56</v>
      </c>
      <c r="N8" s="344">
        <v>64135.28</v>
      </c>
    </row>
    <row r="9" spans="1:16" x14ac:dyDescent="0.25">
      <c r="A9" s="340" t="s">
        <v>366</v>
      </c>
      <c r="B9" s="340" t="s">
        <v>38</v>
      </c>
      <c r="C9" s="340" t="s">
        <v>323</v>
      </c>
      <c r="D9" s="342">
        <v>428.18</v>
      </c>
      <c r="E9" s="342">
        <v>13.95</v>
      </c>
      <c r="F9" s="342">
        <v>3016.53</v>
      </c>
      <c r="H9" s="343" t="s">
        <v>366</v>
      </c>
      <c r="I9" s="343" t="s">
        <v>21</v>
      </c>
      <c r="J9" s="343" t="s">
        <v>52</v>
      </c>
      <c r="K9" s="343" t="s">
        <v>178</v>
      </c>
      <c r="L9" s="344">
        <v>2222.19</v>
      </c>
      <c r="M9" s="344">
        <v>3818.43</v>
      </c>
      <c r="N9" s="344">
        <v>47283.41</v>
      </c>
    </row>
    <row r="10" spans="1:16" x14ac:dyDescent="0.25">
      <c r="A10" s="340" t="s">
        <v>366</v>
      </c>
      <c r="B10" s="340" t="s">
        <v>38</v>
      </c>
      <c r="C10" s="340" t="s">
        <v>41</v>
      </c>
      <c r="D10" s="342">
        <v>39786.46</v>
      </c>
      <c r="E10" s="342">
        <v>103157.03</v>
      </c>
      <c r="F10" s="342">
        <v>751739.28</v>
      </c>
      <c r="H10" s="343" t="s">
        <v>366</v>
      </c>
      <c r="I10" s="343" t="s">
        <v>21</v>
      </c>
      <c r="J10" s="343" t="s">
        <v>52</v>
      </c>
      <c r="K10" s="343" t="s">
        <v>332</v>
      </c>
      <c r="L10" s="344">
        <v>734.47</v>
      </c>
      <c r="M10" s="344">
        <v>1716.01</v>
      </c>
      <c r="N10" s="344">
        <v>17428.78</v>
      </c>
    </row>
    <row r="11" spans="1:16" x14ac:dyDescent="0.25">
      <c r="A11" s="340" t="s">
        <v>366</v>
      </c>
      <c r="B11" s="340" t="s">
        <v>39</v>
      </c>
      <c r="C11" s="340" t="s">
        <v>41</v>
      </c>
      <c r="D11" s="342">
        <v>9286.73</v>
      </c>
      <c r="E11" s="342">
        <v>16346.42</v>
      </c>
      <c r="F11" s="342">
        <v>121402.99</v>
      </c>
      <c r="H11" s="343" t="s">
        <v>366</v>
      </c>
      <c r="I11" s="343" t="s">
        <v>21</v>
      </c>
      <c r="J11" s="343" t="s">
        <v>52</v>
      </c>
      <c r="K11" s="343" t="s">
        <v>210</v>
      </c>
      <c r="L11" s="344">
        <v>66.14</v>
      </c>
      <c r="M11" s="344">
        <v>652.65</v>
      </c>
      <c r="N11" s="344">
        <v>50526.18</v>
      </c>
    </row>
    <row r="12" spans="1:16" x14ac:dyDescent="0.25">
      <c r="H12" s="343" t="s">
        <v>366</v>
      </c>
      <c r="I12" s="343" t="s">
        <v>21</v>
      </c>
      <c r="J12" s="343" t="s">
        <v>52</v>
      </c>
      <c r="K12" s="343" t="s">
        <v>72</v>
      </c>
      <c r="L12" s="344">
        <v>1960.67</v>
      </c>
      <c r="M12" s="344">
        <v>3174.66</v>
      </c>
      <c r="N12" s="344">
        <v>40732.42</v>
      </c>
      <c r="O12" s="346">
        <f>SUM(L8:N12)</f>
        <v>262176.7</v>
      </c>
      <c r="P12" s="347" t="s">
        <v>52</v>
      </c>
    </row>
    <row r="13" spans="1:16" x14ac:dyDescent="0.25">
      <c r="H13" s="348" t="s">
        <v>366</v>
      </c>
      <c r="I13" s="348" t="s">
        <v>21</v>
      </c>
      <c r="J13" s="348" t="s">
        <v>52</v>
      </c>
      <c r="K13" s="348" t="s">
        <v>240</v>
      </c>
      <c r="L13" s="349">
        <v>263.3</v>
      </c>
      <c r="M13" s="349">
        <v>2623.6</v>
      </c>
      <c r="N13" s="349">
        <v>77809.570000000007</v>
      </c>
      <c r="O13" s="350">
        <f>SUM(L13:N13)</f>
        <v>80696.47</v>
      </c>
      <c r="P13" s="351" t="s">
        <v>254</v>
      </c>
    </row>
    <row r="14" spans="1:16" x14ac:dyDescent="0.25">
      <c r="H14" s="352" t="s">
        <v>366</v>
      </c>
      <c r="I14" s="352" t="s">
        <v>21</v>
      </c>
      <c r="J14" s="352" t="s">
        <v>367</v>
      </c>
      <c r="K14" s="352" t="s">
        <v>368</v>
      </c>
      <c r="L14" s="353">
        <v>0</v>
      </c>
      <c r="M14" s="353">
        <v>36.97</v>
      </c>
      <c r="N14" s="353">
        <v>17.71</v>
      </c>
    </row>
    <row r="15" spans="1:16" x14ac:dyDescent="0.25">
      <c r="A15" s="354" t="s">
        <v>79</v>
      </c>
      <c r="B15" s="355" t="s">
        <v>80</v>
      </c>
      <c r="D15" s="356" t="s">
        <v>184</v>
      </c>
      <c r="E15" s="357"/>
      <c r="F15" s="358" t="s">
        <v>185</v>
      </c>
      <c r="H15" s="352" t="s">
        <v>366</v>
      </c>
      <c r="I15" s="352" t="s">
        <v>21</v>
      </c>
      <c r="J15" s="352" t="s">
        <v>55</v>
      </c>
      <c r="K15" s="352" t="s">
        <v>182</v>
      </c>
      <c r="L15" s="353">
        <v>0</v>
      </c>
      <c r="M15" s="353">
        <v>0</v>
      </c>
      <c r="N15" s="353">
        <v>187.33</v>
      </c>
    </row>
    <row r="16" spans="1:16" x14ac:dyDescent="0.25">
      <c r="A16" s="336" t="s">
        <v>38</v>
      </c>
      <c r="B16" s="359">
        <f>SUM(D10:F10)</f>
        <v>894682.77</v>
      </c>
      <c r="D16" s="502" t="s">
        <v>81</v>
      </c>
      <c r="E16" s="502"/>
      <c r="F16" s="360">
        <f>O12/B20</f>
        <v>0.24861254852026352</v>
      </c>
      <c r="H16" s="352" t="s">
        <v>366</v>
      </c>
      <c r="I16" s="352" t="s">
        <v>21</v>
      </c>
      <c r="J16" s="352" t="s">
        <v>55</v>
      </c>
      <c r="K16" s="352" t="s">
        <v>54</v>
      </c>
      <c r="L16" s="353">
        <v>14.29</v>
      </c>
      <c r="M16" s="353">
        <v>1605.98</v>
      </c>
      <c r="N16" s="353">
        <v>7416.81</v>
      </c>
    </row>
    <row r="17" spans="1:16" x14ac:dyDescent="0.25">
      <c r="A17" s="336" t="s">
        <v>39</v>
      </c>
      <c r="B17" s="359">
        <f>SUM(D11:F11)</f>
        <v>147036.14000000001</v>
      </c>
      <c r="D17" s="481" t="s">
        <v>253</v>
      </c>
      <c r="E17" s="481"/>
      <c r="F17" s="360">
        <f>O13/B20</f>
        <v>7.6521502724265694E-2</v>
      </c>
      <c r="H17" s="352" t="s">
        <v>366</v>
      </c>
      <c r="I17" s="352" t="s">
        <v>21</v>
      </c>
      <c r="J17" s="352" t="s">
        <v>55</v>
      </c>
      <c r="K17" s="352" t="s">
        <v>66</v>
      </c>
      <c r="L17" s="353">
        <v>0</v>
      </c>
      <c r="M17" s="353">
        <v>115.62</v>
      </c>
      <c r="N17" s="353">
        <v>1260.6300000000001</v>
      </c>
    </row>
    <row r="18" spans="1:16" x14ac:dyDescent="0.25">
      <c r="A18" s="336" t="s">
        <v>2</v>
      </c>
      <c r="B18" s="359">
        <f>SUM(D9:F9)</f>
        <v>3458.6600000000003</v>
      </c>
      <c r="D18" s="336" t="s">
        <v>78</v>
      </c>
      <c r="F18" s="360">
        <f>O24/B20</f>
        <v>0.16442674542562516</v>
      </c>
      <c r="H18" s="352" t="s">
        <v>366</v>
      </c>
      <c r="I18" s="352" t="s">
        <v>21</v>
      </c>
      <c r="J18" s="352" t="s">
        <v>55</v>
      </c>
      <c r="K18" s="352" t="s">
        <v>67</v>
      </c>
      <c r="L18" s="353">
        <v>0</v>
      </c>
      <c r="M18" s="353">
        <v>179.63</v>
      </c>
      <c r="N18" s="353">
        <v>2295.15</v>
      </c>
    </row>
    <row r="19" spans="1:16" x14ac:dyDescent="0.25">
      <c r="A19" s="336" t="s">
        <v>3</v>
      </c>
      <c r="B19" s="359">
        <f>SUM(D8:F8)</f>
        <v>9381.83</v>
      </c>
      <c r="D19" s="481" t="s">
        <v>42</v>
      </c>
      <c r="E19" s="481"/>
      <c r="F19" s="360">
        <f>O28/B20</f>
        <v>0.42696825802320842</v>
      </c>
      <c r="H19" s="352" t="s">
        <v>366</v>
      </c>
      <c r="I19" s="352" t="s">
        <v>21</v>
      </c>
      <c r="J19" s="352" t="s">
        <v>55</v>
      </c>
      <c r="K19" s="352" t="s">
        <v>68</v>
      </c>
      <c r="L19" s="353">
        <v>741.2</v>
      </c>
      <c r="M19" s="353">
        <v>0</v>
      </c>
      <c r="N19" s="353">
        <v>8986.07</v>
      </c>
    </row>
    <row r="20" spans="1:16" ht="15.75" thickBot="1" x14ac:dyDescent="0.3">
      <c r="A20" s="361"/>
      <c r="B20" s="404">
        <f>SUM(B16:B19)</f>
        <v>1054559.4000000001</v>
      </c>
      <c r="F20" s="363">
        <f>SUM(F16:F19)</f>
        <v>0.91652905469336288</v>
      </c>
      <c r="H20" s="352" t="s">
        <v>366</v>
      </c>
      <c r="I20" s="352" t="s">
        <v>21</v>
      </c>
      <c r="J20" s="352" t="s">
        <v>55</v>
      </c>
      <c r="K20" s="352" t="s">
        <v>72</v>
      </c>
      <c r="L20" s="353">
        <v>3325.93</v>
      </c>
      <c r="M20" s="353">
        <v>11881.81</v>
      </c>
      <c r="N20" s="353">
        <v>109553.41</v>
      </c>
    </row>
    <row r="21" spans="1:16" x14ac:dyDescent="0.25">
      <c r="E21" s="393" t="s">
        <v>356</v>
      </c>
      <c r="F21" s="394">
        <v>255</v>
      </c>
      <c r="H21" s="352" t="s">
        <v>366</v>
      </c>
      <c r="I21" s="352" t="s">
        <v>21</v>
      </c>
      <c r="J21" s="352" t="s">
        <v>183</v>
      </c>
      <c r="K21" s="352" t="s">
        <v>363</v>
      </c>
      <c r="L21" s="353">
        <v>1499.25</v>
      </c>
      <c r="M21" s="353">
        <v>338.68</v>
      </c>
      <c r="N21" s="353">
        <v>9745.66</v>
      </c>
    </row>
    <row r="22" spans="1:16" x14ac:dyDescent="0.25">
      <c r="H22" s="352" t="s">
        <v>366</v>
      </c>
      <c r="I22" s="352" t="s">
        <v>21</v>
      </c>
      <c r="J22" s="352" t="s">
        <v>183</v>
      </c>
      <c r="K22" s="352" t="s">
        <v>364</v>
      </c>
      <c r="L22" s="353">
        <v>0</v>
      </c>
      <c r="M22" s="353">
        <v>646.01</v>
      </c>
      <c r="N22" s="353">
        <v>2284.39</v>
      </c>
    </row>
    <row r="23" spans="1:16" x14ac:dyDescent="0.25">
      <c r="H23" s="352" t="s">
        <v>366</v>
      </c>
      <c r="I23" s="352" t="s">
        <v>21</v>
      </c>
      <c r="J23" s="352" t="s">
        <v>183</v>
      </c>
      <c r="K23" s="352" t="s">
        <v>365</v>
      </c>
      <c r="L23" s="353">
        <v>0</v>
      </c>
      <c r="M23" s="353">
        <v>89.51</v>
      </c>
      <c r="N23" s="353">
        <v>1699.56</v>
      </c>
    </row>
    <row r="24" spans="1:16" x14ac:dyDescent="0.25">
      <c r="H24" s="352" t="s">
        <v>366</v>
      </c>
      <c r="I24" s="352" t="s">
        <v>21</v>
      </c>
      <c r="J24" s="352" t="s">
        <v>183</v>
      </c>
      <c r="K24" s="352" t="s">
        <v>72</v>
      </c>
      <c r="L24" s="353">
        <v>43.92</v>
      </c>
      <c r="M24" s="353">
        <v>2008.81</v>
      </c>
      <c r="N24" s="353">
        <v>7423.44</v>
      </c>
      <c r="O24" s="364">
        <f>SUM(L14:N24)</f>
        <v>173397.77000000005</v>
      </c>
      <c r="P24" s="365" t="s">
        <v>371</v>
      </c>
    </row>
    <row r="25" spans="1:16" x14ac:dyDescent="0.25">
      <c r="H25" s="366" t="s">
        <v>366</v>
      </c>
      <c r="I25" s="366" t="s">
        <v>43</v>
      </c>
      <c r="J25" s="366" t="s">
        <v>21</v>
      </c>
      <c r="K25" s="366" t="s">
        <v>21</v>
      </c>
      <c r="L25" s="367">
        <v>8998.66</v>
      </c>
      <c r="M25" s="367">
        <v>24742.58</v>
      </c>
      <c r="N25" s="367">
        <v>157903.07999999999</v>
      </c>
    </row>
    <row r="26" spans="1:16" x14ac:dyDescent="0.25">
      <c r="H26" s="366" t="s">
        <v>366</v>
      </c>
      <c r="I26" s="366" t="s">
        <v>45</v>
      </c>
      <c r="J26" s="366" t="s">
        <v>21</v>
      </c>
      <c r="K26" s="366" t="s">
        <v>21</v>
      </c>
      <c r="L26" s="367">
        <v>10285.620000000001</v>
      </c>
      <c r="M26" s="367">
        <v>20510.36</v>
      </c>
      <c r="N26" s="367">
        <v>135160.89000000001</v>
      </c>
    </row>
    <row r="27" spans="1:16" x14ac:dyDescent="0.25">
      <c r="H27" s="366" t="s">
        <v>366</v>
      </c>
      <c r="I27" s="366" t="s">
        <v>46</v>
      </c>
      <c r="J27" s="366" t="s">
        <v>21</v>
      </c>
      <c r="K27" s="366" t="s">
        <v>21</v>
      </c>
      <c r="L27" s="367">
        <v>6344.61</v>
      </c>
      <c r="M27" s="367">
        <v>5407.17</v>
      </c>
      <c r="N27" s="367">
        <v>52936.84</v>
      </c>
    </row>
    <row r="28" spans="1:16" x14ac:dyDescent="0.25">
      <c r="H28" s="366" t="s">
        <v>366</v>
      </c>
      <c r="I28" s="366" t="s">
        <v>50</v>
      </c>
      <c r="J28" s="366" t="s">
        <v>21</v>
      </c>
      <c r="K28" s="366" t="s">
        <v>21</v>
      </c>
      <c r="L28" s="367">
        <v>4412.9799999999996</v>
      </c>
      <c r="M28" s="367">
        <v>3196.91</v>
      </c>
      <c r="N28" s="367">
        <v>20363.689999999999</v>
      </c>
      <c r="O28" s="368">
        <f>SUM(L25:N28)</f>
        <v>450263.3899999999</v>
      </c>
      <c r="P28" s="369" t="s">
        <v>369</v>
      </c>
    </row>
    <row r="29" spans="1:16" x14ac:dyDescent="0.25">
      <c r="D29" s="345"/>
      <c r="E29" s="345"/>
      <c r="F29" s="345"/>
      <c r="H29" s="340" t="s">
        <v>366</v>
      </c>
      <c r="I29" s="340" t="s">
        <v>21</v>
      </c>
      <c r="J29" s="340" t="s">
        <v>21</v>
      </c>
      <c r="K29" s="340" t="s">
        <v>21</v>
      </c>
      <c r="L29" s="341">
        <v>8464.66</v>
      </c>
      <c r="M29" s="341">
        <v>6835.3</v>
      </c>
      <c r="N29" s="341">
        <v>20552.849999999999</v>
      </c>
    </row>
    <row r="30" spans="1:16" x14ac:dyDescent="0.25">
      <c r="D30" s="345"/>
      <c r="E30" s="345"/>
      <c r="F30" s="345"/>
      <c r="H30" s="340" t="s">
        <v>366</v>
      </c>
      <c r="I30" s="340" t="s">
        <v>43</v>
      </c>
      <c r="J30" s="340" t="s">
        <v>52</v>
      </c>
      <c r="K30" s="340" t="s">
        <v>178</v>
      </c>
      <c r="L30" s="341">
        <v>44.64</v>
      </c>
      <c r="M30" s="341">
        <v>0</v>
      </c>
      <c r="N30" s="341">
        <v>426.09</v>
      </c>
    </row>
    <row r="31" spans="1:16" x14ac:dyDescent="0.25">
      <c r="H31" s="340" t="s">
        <v>366</v>
      </c>
      <c r="I31" s="340" t="s">
        <v>43</v>
      </c>
      <c r="J31" s="340" t="s">
        <v>55</v>
      </c>
      <c r="K31" s="340" t="s">
        <v>72</v>
      </c>
      <c r="L31" s="341">
        <v>0</v>
      </c>
      <c r="M31" s="341">
        <v>73.72</v>
      </c>
      <c r="N31" s="341">
        <v>236.27</v>
      </c>
    </row>
    <row r="32" spans="1:16" x14ac:dyDescent="0.25">
      <c r="H32" s="340" t="s">
        <v>366</v>
      </c>
      <c r="I32" s="340" t="s">
        <v>43</v>
      </c>
      <c r="J32" s="340" t="s">
        <v>183</v>
      </c>
      <c r="K32" s="340" t="s">
        <v>363</v>
      </c>
      <c r="L32" s="341">
        <v>0</v>
      </c>
      <c r="M32" s="341">
        <v>160.03</v>
      </c>
      <c r="N32" s="341">
        <v>1348.04</v>
      </c>
    </row>
    <row r="33" spans="7:14" x14ac:dyDescent="0.25">
      <c r="H33" s="340" t="s">
        <v>366</v>
      </c>
      <c r="I33" s="340" t="s">
        <v>43</v>
      </c>
      <c r="J33" s="340" t="s">
        <v>183</v>
      </c>
      <c r="K33" s="340" t="s">
        <v>365</v>
      </c>
      <c r="L33" s="341">
        <v>0</v>
      </c>
      <c r="M33" s="341">
        <v>0</v>
      </c>
      <c r="N33" s="341">
        <v>606.08000000000004</v>
      </c>
    </row>
    <row r="34" spans="7:14" x14ac:dyDescent="0.25">
      <c r="H34" s="340" t="s">
        <v>366</v>
      </c>
      <c r="I34" s="340" t="s">
        <v>45</v>
      </c>
      <c r="J34" s="340" t="s">
        <v>55</v>
      </c>
      <c r="K34" s="340" t="s">
        <v>72</v>
      </c>
      <c r="L34" s="341">
        <v>69.400000000000006</v>
      </c>
      <c r="M34" s="341">
        <v>225.14</v>
      </c>
      <c r="N34" s="341">
        <v>864.57</v>
      </c>
    </row>
    <row r="35" spans="7:14" x14ac:dyDescent="0.25">
      <c r="H35" s="340" t="s">
        <v>366</v>
      </c>
      <c r="I35" s="340" t="s">
        <v>45</v>
      </c>
      <c r="J35" s="340" t="s">
        <v>183</v>
      </c>
      <c r="K35" s="340" t="s">
        <v>363</v>
      </c>
      <c r="L35" s="341">
        <v>0</v>
      </c>
      <c r="M35" s="341">
        <v>792.34</v>
      </c>
      <c r="N35" s="341">
        <v>11098.21</v>
      </c>
    </row>
    <row r="36" spans="7:14" x14ac:dyDescent="0.25">
      <c r="H36" s="340" t="s">
        <v>366</v>
      </c>
      <c r="I36" s="340" t="s">
        <v>45</v>
      </c>
      <c r="J36" s="340" t="s">
        <v>183</v>
      </c>
      <c r="K36" s="340" t="s">
        <v>364</v>
      </c>
      <c r="L36" s="341">
        <v>0</v>
      </c>
      <c r="M36" s="341">
        <v>597.79</v>
      </c>
      <c r="N36" s="341">
        <v>7503.8</v>
      </c>
    </row>
    <row r="37" spans="7:14" x14ac:dyDescent="0.25">
      <c r="H37" s="340" t="s">
        <v>366</v>
      </c>
      <c r="I37" s="340" t="s">
        <v>45</v>
      </c>
      <c r="J37" s="340" t="s">
        <v>183</v>
      </c>
      <c r="K37" s="340" t="s">
        <v>365</v>
      </c>
      <c r="L37" s="341">
        <v>242.3</v>
      </c>
      <c r="M37" s="341">
        <v>0</v>
      </c>
      <c r="N37" s="341">
        <v>1161.8900000000001</v>
      </c>
    </row>
    <row r="38" spans="7:14" x14ac:dyDescent="0.25">
      <c r="H38" s="340" t="s">
        <v>366</v>
      </c>
      <c r="I38" s="340" t="s">
        <v>45</v>
      </c>
      <c r="J38" s="340" t="s">
        <v>183</v>
      </c>
      <c r="K38" s="340" t="s">
        <v>72</v>
      </c>
      <c r="L38" s="341">
        <v>0</v>
      </c>
      <c r="M38" s="341">
        <v>0</v>
      </c>
      <c r="N38" s="341">
        <v>2981.73</v>
      </c>
    </row>
    <row r="39" spans="7:14" x14ac:dyDescent="0.25">
      <c r="H39" s="340" t="s">
        <v>366</v>
      </c>
      <c r="I39" s="340" t="s">
        <v>46</v>
      </c>
      <c r="J39" s="340" t="s">
        <v>55</v>
      </c>
      <c r="K39" s="340" t="s">
        <v>72</v>
      </c>
      <c r="L39" s="341">
        <v>0</v>
      </c>
      <c r="M39" s="341">
        <v>0</v>
      </c>
      <c r="N39" s="341">
        <v>0</v>
      </c>
    </row>
    <row r="40" spans="7:14" x14ac:dyDescent="0.25">
      <c r="H40" s="340" t="s">
        <v>366</v>
      </c>
      <c r="I40" s="340" t="s">
        <v>46</v>
      </c>
      <c r="J40" s="340" t="s">
        <v>183</v>
      </c>
      <c r="K40" s="340" t="s">
        <v>363</v>
      </c>
      <c r="L40" s="341">
        <v>267.64</v>
      </c>
      <c r="M40" s="341">
        <v>0</v>
      </c>
      <c r="N40" s="341">
        <v>2032.05</v>
      </c>
    </row>
    <row r="41" spans="7:14" x14ac:dyDescent="0.25">
      <c r="H41" s="340" t="s">
        <v>366</v>
      </c>
      <c r="I41" s="340" t="s">
        <v>46</v>
      </c>
      <c r="J41" s="340" t="s">
        <v>183</v>
      </c>
      <c r="K41" s="340" t="s">
        <v>364</v>
      </c>
      <c r="L41" s="341">
        <v>395.78</v>
      </c>
      <c r="M41" s="341">
        <v>0</v>
      </c>
      <c r="N41" s="341">
        <v>1233.77</v>
      </c>
    </row>
    <row r="42" spans="7:14" x14ac:dyDescent="0.25">
      <c r="H42" s="340" t="s">
        <v>366</v>
      </c>
      <c r="I42" s="340" t="s">
        <v>46</v>
      </c>
      <c r="J42" s="340" t="s">
        <v>183</v>
      </c>
      <c r="K42" s="340" t="s">
        <v>365</v>
      </c>
      <c r="L42" s="341">
        <v>367.28</v>
      </c>
      <c r="M42" s="341">
        <v>0</v>
      </c>
      <c r="N42" s="341">
        <v>1208.97</v>
      </c>
    </row>
    <row r="43" spans="7:14" x14ac:dyDescent="0.25">
      <c r="H43" s="340" t="s">
        <v>366</v>
      </c>
      <c r="I43" s="340" t="s">
        <v>50</v>
      </c>
      <c r="J43" s="340" t="s">
        <v>52</v>
      </c>
      <c r="K43" s="340" t="s">
        <v>178</v>
      </c>
      <c r="L43" s="341">
        <v>0</v>
      </c>
      <c r="M43" s="341">
        <v>206.78</v>
      </c>
      <c r="N43" s="341">
        <v>17088.47</v>
      </c>
    </row>
    <row r="44" spans="7:14" x14ac:dyDescent="0.25">
      <c r="H44" s="340" t="s">
        <v>366</v>
      </c>
      <c r="I44" s="340" t="s">
        <v>50</v>
      </c>
      <c r="J44" s="340" t="s">
        <v>52</v>
      </c>
      <c r="K44" s="340" t="s">
        <v>72</v>
      </c>
      <c r="L44" s="341">
        <v>0</v>
      </c>
      <c r="M44" s="341">
        <v>1.31</v>
      </c>
      <c r="N44" s="341">
        <v>0</v>
      </c>
    </row>
    <row r="45" spans="7:14" x14ac:dyDescent="0.25">
      <c r="H45" s="340" t="s">
        <v>366</v>
      </c>
      <c r="I45" s="340" t="s">
        <v>50</v>
      </c>
      <c r="J45" s="340" t="s">
        <v>367</v>
      </c>
      <c r="K45" s="340" t="s">
        <v>368</v>
      </c>
      <c r="L45" s="341">
        <v>0</v>
      </c>
      <c r="M45" s="341">
        <v>29.96</v>
      </c>
      <c r="N45" s="341">
        <v>0.6</v>
      </c>
    </row>
    <row r="46" spans="7:14" x14ac:dyDescent="0.25">
      <c r="H46" s="340" t="s">
        <v>366</v>
      </c>
      <c r="I46" s="340" t="s">
        <v>50</v>
      </c>
      <c r="J46" s="340" t="s">
        <v>55</v>
      </c>
      <c r="K46" s="340" t="s">
        <v>72</v>
      </c>
      <c r="L46" s="341">
        <v>155.47</v>
      </c>
      <c r="M46" s="341">
        <v>352.08</v>
      </c>
      <c r="N46" s="341">
        <v>400.06</v>
      </c>
    </row>
    <row r="47" spans="7:14" x14ac:dyDescent="0.25">
      <c r="G47" s="336">
        <v>1</v>
      </c>
      <c r="H47" s="340" t="s">
        <v>366</v>
      </c>
      <c r="I47" s="340" t="s">
        <v>50</v>
      </c>
      <c r="J47" s="340" t="s">
        <v>183</v>
      </c>
      <c r="K47" s="340" t="s">
        <v>364</v>
      </c>
      <c r="L47" s="341">
        <v>0</v>
      </c>
      <c r="M47" s="341">
        <v>0</v>
      </c>
      <c r="N47" s="341">
        <v>0</v>
      </c>
    </row>
    <row r="48" spans="7:14" x14ac:dyDescent="0.25">
      <c r="G48" s="336">
        <v>1</v>
      </c>
    </row>
    <row r="49" spans="7:7" x14ac:dyDescent="0.25">
      <c r="G49" s="336">
        <v>1</v>
      </c>
    </row>
    <row r="50" spans="7:7" x14ac:dyDescent="0.25">
      <c r="G50" s="336">
        <v>1</v>
      </c>
    </row>
    <row r="51" spans="7:7" x14ac:dyDescent="0.25">
      <c r="G51" s="336">
        <v>1</v>
      </c>
    </row>
    <row r="52" spans="7:7" x14ac:dyDescent="0.25">
      <c r="G52" s="336">
        <v>2</v>
      </c>
    </row>
    <row r="53" spans="7:7" x14ac:dyDescent="0.25">
      <c r="G53" s="336">
        <v>3</v>
      </c>
    </row>
    <row r="54" spans="7:7" x14ac:dyDescent="0.25">
      <c r="G54" s="336">
        <v>3</v>
      </c>
    </row>
    <row r="55" spans="7:7" x14ac:dyDescent="0.25">
      <c r="G55" s="336">
        <v>3</v>
      </c>
    </row>
    <row r="56" spans="7:7" x14ac:dyDescent="0.25">
      <c r="G56" s="336">
        <v>3</v>
      </c>
    </row>
    <row r="57" spans="7:7" x14ac:dyDescent="0.25">
      <c r="G57" s="336">
        <v>3</v>
      </c>
    </row>
    <row r="58" spans="7:7" x14ac:dyDescent="0.25">
      <c r="G58" s="336">
        <v>3</v>
      </c>
    </row>
    <row r="59" spans="7:7" x14ac:dyDescent="0.25">
      <c r="G59" s="336">
        <v>3</v>
      </c>
    </row>
    <row r="60" spans="7:7" x14ac:dyDescent="0.25">
      <c r="G60" s="336">
        <v>3</v>
      </c>
    </row>
    <row r="61" spans="7:7" x14ac:dyDescent="0.25">
      <c r="G61" s="336">
        <v>3</v>
      </c>
    </row>
    <row r="62" spans="7:7" x14ac:dyDescent="0.25">
      <c r="G62" s="336">
        <v>3</v>
      </c>
    </row>
    <row r="63" spans="7:7" x14ac:dyDescent="0.25">
      <c r="G63" s="336">
        <v>3</v>
      </c>
    </row>
    <row r="64" spans="7:7" x14ac:dyDescent="0.25">
      <c r="G64" s="336">
        <v>4</v>
      </c>
    </row>
    <row r="65" spans="7:7" x14ac:dyDescent="0.25">
      <c r="G65" s="336">
        <v>4</v>
      </c>
    </row>
    <row r="66" spans="7:7" x14ac:dyDescent="0.25">
      <c r="G66" s="336">
        <v>4</v>
      </c>
    </row>
    <row r="67" spans="7:7" x14ac:dyDescent="0.25">
      <c r="G67" s="336">
        <v>4</v>
      </c>
    </row>
    <row r="68" spans="7:7" x14ac:dyDescent="0.25">
      <c r="G68" s="336">
        <v>5</v>
      </c>
    </row>
    <row r="69" spans="7:7" x14ac:dyDescent="0.25">
      <c r="G69" s="336">
        <v>5</v>
      </c>
    </row>
    <row r="70" spans="7:7" x14ac:dyDescent="0.25">
      <c r="G70" s="336">
        <v>5</v>
      </c>
    </row>
    <row r="71" spans="7:7" x14ac:dyDescent="0.25">
      <c r="G71" s="336">
        <v>5</v>
      </c>
    </row>
    <row r="72" spans="7:7" x14ac:dyDescent="0.25">
      <c r="G72" s="336">
        <v>5</v>
      </c>
    </row>
    <row r="73" spans="7:7" x14ac:dyDescent="0.25">
      <c r="G73" s="336">
        <v>5</v>
      </c>
    </row>
    <row r="74" spans="7:7" x14ac:dyDescent="0.25">
      <c r="G74" s="336">
        <v>5</v>
      </c>
    </row>
    <row r="75" spans="7:7" x14ac:dyDescent="0.25">
      <c r="G75" s="336">
        <v>5</v>
      </c>
    </row>
    <row r="76" spans="7:7" x14ac:dyDescent="0.25">
      <c r="G76" s="336">
        <v>5</v>
      </c>
    </row>
    <row r="77" spans="7:7" x14ac:dyDescent="0.25">
      <c r="G77" s="336">
        <v>5</v>
      </c>
    </row>
    <row r="78" spans="7:7" x14ac:dyDescent="0.25">
      <c r="G78" s="336">
        <v>5</v>
      </c>
    </row>
    <row r="79" spans="7:7" x14ac:dyDescent="0.25">
      <c r="G79" s="336">
        <v>5</v>
      </c>
    </row>
    <row r="80" spans="7:7" x14ac:dyDescent="0.25">
      <c r="G80" s="336">
        <v>5</v>
      </c>
    </row>
    <row r="81" spans="7:7" x14ac:dyDescent="0.25">
      <c r="G81" s="336">
        <v>5</v>
      </c>
    </row>
    <row r="82" spans="7:7" x14ac:dyDescent="0.25">
      <c r="G82" s="336">
        <v>5</v>
      </c>
    </row>
    <row r="83" spans="7:7" x14ac:dyDescent="0.25">
      <c r="G83" s="336">
        <v>5</v>
      </c>
    </row>
    <row r="84" spans="7:7" x14ac:dyDescent="0.25">
      <c r="G84" s="336">
        <v>5</v>
      </c>
    </row>
    <row r="85" spans="7:7" x14ac:dyDescent="0.25">
      <c r="G85" s="336">
        <v>5</v>
      </c>
    </row>
    <row r="86" spans="7:7" x14ac:dyDescent="0.25">
      <c r="G86" s="336">
        <v>5</v>
      </c>
    </row>
  </sheetData>
  <mergeCells count="13">
    <mergeCell ref="D19:E19"/>
    <mergeCell ref="A4:F4"/>
    <mergeCell ref="H4:N4"/>
    <mergeCell ref="A5:F5"/>
    <mergeCell ref="H5:N5"/>
    <mergeCell ref="D16:E16"/>
    <mergeCell ref="D17:E17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P44"/>
  <sheetViews>
    <sheetView topLeftCell="A6" zoomScale="80" zoomScaleNormal="80" workbookViewId="0">
      <selection activeCell="F21" sqref="F2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366</v>
      </c>
      <c r="B8" s="340" t="s">
        <v>38</v>
      </c>
      <c r="C8" s="340" t="s">
        <v>3</v>
      </c>
      <c r="D8" s="342">
        <v>0</v>
      </c>
      <c r="E8" s="342">
        <v>0</v>
      </c>
      <c r="F8" s="342">
        <v>7935.94</v>
      </c>
      <c r="H8" s="343" t="s">
        <v>366</v>
      </c>
      <c r="I8" s="343" t="s">
        <v>21</v>
      </c>
      <c r="J8" s="343" t="s">
        <v>52</v>
      </c>
      <c r="K8" s="343" t="s">
        <v>209</v>
      </c>
      <c r="L8" s="344">
        <v>27237.02</v>
      </c>
      <c r="M8" s="344">
        <v>1263.81</v>
      </c>
      <c r="N8" s="344">
        <v>52964.02</v>
      </c>
    </row>
    <row r="9" spans="1:16" x14ac:dyDescent="0.25">
      <c r="A9" s="340" t="s">
        <v>366</v>
      </c>
      <c r="B9" s="340" t="s">
        <v>38</v>
      </c>
      <c r="C9" s="340" t="s">
        <v>323</v>
      </c>
      <c r="D9" s="342">
        <v>218.87</v>
      </c>
      <c r="E9" s="342">
        <v>2435.33</v>
      </c>
      <c r="F9" s="342">
        <v>581.45000000000005</v>
      </c>
      <c r="H9" s="343" t="s">
        <v>366</v>
      </c>
      <c r="I9" s="343" t="s">
        <v>21</v>
      </c>
      <c r="J9" s="343" t="s">
        <v>52</v>
      </c>
      <c r="K9" s="343" t="s">
        <v>178</v>
      </c>
      <c r="L9" s="344">
        <v>5523.12</v>
      </c>
      <c r="M9" s="344">
        <v>11829.21</v>
      </c>
      <c r="N9" s="344">
        <v>35444.25</v>
      </c>
    </row>
    <row r="10" spans="1:16" x14ac:dyDescent="0.25">
      <c r="A10" s="340" t="s">
        <v>366</v>
      </c>
      <c r="B10" s="340" t="s">
        <v>38</v>
      </c>
      <c r="C10" s="340" t="s">
        <v>41</v>
      </c>
      <c r="D10" s="342">
        <v>140159.25</v>
      </c>
      <c r="E10" s="342">
        <v>149362.10999999999</v>
      </c>
      <c r="F10" s="342">
        <v>679090.08</v>
      </c>
      <c r="H10" s="343" t="s">
        <v>366</v>
      </c>
      <c r="I10" s="343" t="s">
        <v>21</v>
      </c>
      <c r="J10" s="343" t="s">
        <v>52</v>
      </c>
      <c r="K10" s="343" t="s">
        <v>332</v>
      </c>
      <c r="L10" s="344">
        <v>1700.26</v>
      </c>
      <c r="M10" s="344">
        <v>4092.12</v>
      </c>
      <c r="N10" s="344">
        <v>15190.87</v>
      </c>
    </row>
    <row r="11" spans="1:16" x14ac:dyDescent="0.25">
      <c r="A11" s="340" t="s">
        <v>366</v>
      </c>
      <c r="B11" s="340" t="s">
        <v>39</v>
      </c>
      <c r="C11" s="340" t="s">
        <v>41</v>
      </c>
      <c r="D11" s="342">
        <v>22276.77</v>
      </c>
      <c r="E11" s="342">
        <v>30154.82</v>
      </c>
      <c r="F11" s="342">
        <v>115675.14</v>
      </c>
      <c r="H11" s="343" t="s">
        <v>366</v>
      </c>
      <c r="I11" s="343" t="s">
        <v>21</v>
      </c>
      <c r="J11" s="343" t="s">
        <v>52</v>
      </c>
      <c r="K11" s="343" t="s">
        <v>210</v>
      </c>
      <c r="L11" s="344">
        <v>1142.83</v>
      </c>
      <c r="M11" s="344">
        <v>1450.12</v>
      </c>
      <c r="N11" s="344">
        <v>58507.93</v>
      </c>
    </row>
    <row r="12" spans="1:16" x14ac:dyDescent="0.25">
      <c r="H12" s="343" t="s">
        <v>366</v>
      </c>
      <c r="I12" s="343" t="s">
        <v>21</v>
      </c>
      <c r="J12" s="343" t="s">
        <v>52</v>
      </c>
      <c r="K12" s="343" t="s">
        <v>72</v>
      </c>
      <c r="L12" s="344">
        <v>3185.91</v>
      </c>
      <c r="M12" s="344">
        <v>9717.69</v>
      </c>
      <c r="N12" s="344">
        <v>32960.21</v>
      </c>
      <c r="O12" s="346">
        <f>SUM(L8:N12)</f>
        <v>262209.37</v>
      </c>
      <c r="P12" s="347" t="s">
        <v>52</v>
      </c>
    </row>
    <row r="13" spans="1:16" x14ac:dyDescent="0.25">
      <c r="H13" s="348" t="s">
        <v>366</v>
      </c>
      <c r="I13" s="348" t="s">
        <v>21</v>
      </c>
      <c r="J13" s="348" t="s">
        <v>52</v>
      </c>
      <c r="K13" s="348" t="s">
        <v>240</v>
      </c>
      <c r="L13" s="349">
        <v>2570.66</v>
      </c>
      <c r="M13" s="349">
        <v>991.99</v>
      </c>
      <c r="N13" s="349">
        <v>74628.87</v>
      </c>
      <c r="O13" s="350">
        <f>SUM(L13:N13)</f>
        <v>78191.51999999999</v>
      </c>
      <c r="P13" s="351" t="s">
        <v>254</v>
      </c>
    </row>
    <row r="14" spans="1:16" x14ac:dyDescent="0.25">
      <c r="H14" s="352" t="s">
        <v>366</v>
      </c>
      <c r="I14" s="352" t="s">
        <v>21</v>
      </c>
      <c r="J14" s="352" t="s">
        <v>367</v>
      </c>
      <c r="K14" s="352" t="s">
        <v>368</v>
      </c>
      <c r="L14" s="353">
        <v>0</v>
      </c>
      <c r="M14" s="353">
        <v>25.99</v>
      </c>
      <c r="N14" s="353">
        <v>235.74</v>
      </c>
    </row>
    <row r="15" spans="1:16" x14ac:dyDescent="0.25">
      <c r="A15" s="354" t="s">
        <v>79</v>
      </c>
      <c r="B15" s="355" t="s">
        <v>80</v>
      </c>
      <c r="D15" s="356" t="s">
        <v>184</v>
      </c>
      <c r="E15" s="357"/>
      <c r="F15" s="358" t="s">
        <v>185</v>
      </c>
      <c r="H15" s="352" t="s">
        <v>366</v>
      </c>
      <c r="I15" s="352" t="s">
        <v>21</v>
      </c>
      <c r="J15" s="352" t="s">
        <v>55</v>
      </c>
      <c r="K15" s="352" t="s">
        <v>182</v>
      </c>
      <c r="L15" s="353">
        <v>0</v>
      </c>
      <c r="M15" s="353">
        <v>0</v>
      </c>
      <c r="N15" s="353">
        <v>165.41</v>
      </c>
    </row>
    <row r="16" spans="1:16" x14ac:dyDescent="0.25">
      <c r="A16" s="336" t="s">
        <v>38</v>
      </c>
      <c r="B16" s="359">
        <f>SUM(D10:F10)</f>
        <v>968611.44</v>
      </c>
      <c r="D16" s="502" t="s">
        <v>81</v>
      </c>
      <c r="E16" s="502"/>
      <c r="F16" s="360">
        <f>O12/B20</f>
        <v>0.22842730995352728</v>
      </c>
      <c r="H16" s="352" t="s">
        <v>366</v>
      </c>
      <c r="I16" s="352" t="s">
        <v>21</v>
      </c>
      <c r="J16" s="352" t="s">
        <v>55</v>
      </c>
      <c r="K16" s="352" t="s">
        <v>54</v>
      </c>
      <c r="L16" s="353">
        <v>133.76</v>
      </c>
      <c r="M16" s="353">
        <v>181.39</v>
      </c>
      <c r="N16" s="353">
        <v>509.41</v>
      </c>
    </row>
    <row r="17" spans="1:16" x14ac:dyDescent="0.25">
      <c r="A17" s="336" t="s">
        <v>39</v>
      </c>
      <c r="B17" s="359">
        <f>SUM(D11:F11)</f>
        <v>168106.72999999998</v>
      </c>
      <c r="D17" s="481" t="s">
        <v>253</v>
      </c>
      <c r="E17" s="481"/>
      <c r="F17" s="360">
        <f>O13/B20</f>
        <v>6.8117621329769507E-2</v>
      </c>
      <c r="H17" s="352" t="s">
        <v>366</v>
      </c>
      <c r="I17" s="352" t="s">
        <v>21</v>
      </c>
      <c r="J17" s="352" t="s">
        <v>55</v>
      </c>
      <c r="K17" s="352" t="s">
        <v>67</v>
      </c>
      <c r="L17" s="353">
        <v>738.17</v>
      </c>
      <c r="M17" s="353">
        <v>874.93</v>
      </c>
      <c r="N17" s="353">
        <v>2655.83</v>
      </c>
    </row>
    <row r="18" spans="1:16" x14ac:dyDescent="0.25">
      <c r="A18" s="336" t="s">
        <v>2</v>
      </c>
      <c r="B18" s="359">
        <f>SUM(D9:F9)</f>
        <v>3235.6499999999996</v>
      </c>
      <c r="D18" s="336" t="s">
        <v>78</v>
      </c>
      <c r="F18" s="360">
        <f>O22/B20</f>
        <v>0.12529068993524259</v>
      </c>
      <c r="H18" s="352" t="s">
        <v>366</v>
      </c>
      <c r="I18" s="352" t="s">
        <v>21</v>
      </c>
      <c r="J18" s="352" t="s">
        <v>55</v>
      </c>
      <c r="K18" s="352" t="s">
        <v>72</v>
      </c>
      <c r="L18" s="353">
        <v>11789.23</v>
      </c>
      <c r="M18" s="353">
        <v>10761.04</v>
      </c>
      <c r="N18" s="353">
        <v>92034.45</v>
      </c>
    </row>
    <row r="19" spans="1:16" x14ac:dyDescent="0.25">
      <c r="A19" s="336" t="s">
        <v>3</v>
      </c>
      <c r="B19" s="359">
        <f>SUM(D8:F8)</f>
        <v>7935.94</v>
      </c>
      <c r="D19" s="481" t="s">
        <v>42</v>
      </c>
      <c r="E19" s="481"/>
      <c r="F19" s="360">
        <f>O26/B20</f>
        <v>0.4663586510258616</v>
      </c>
      <c r="H19" s="352" t="s">
        <v>366</v>
      </c>
      <c r="I19" s="352" t="s">
        <v>21</v>
      </c>
      <c r="J19" s="352" t="s">
        <v>183</v>
      </c>
      <c r="K19" s="352" t="s">
        <v>363</v>
      </c>
      <c r="L19" s="353">
        <v>126.4</v>
      </c>
      <c r="M19" s="353">
        <v>263.05</v>
      </c>
      <c r="N19" s="353">
        <v>4579.96</v>
      </c>
    </row>
    <row r="20" spans="1:16" ht="15.75" thickBot="1" x14ac:dyDescent="0.3">
      <c r="A20" s="361"/>
      <c r="B20" s="404">
        <f>SUM(B16:B19)</f>
        <v>1147889.7599999998</v>
      </c>
      <c r="F20" s="363">
        <f>SUM(F16:F19)</f>
        <v>0.88819427224440095</v>
      </c>
      <c r="H20" s="352" t="s">
        <v>366</v>
      </c>
      <c r="I20" s="352" t="s">
        <v>21</v>
      </c>
      <c r="J20" s="352" t="s">
        <v>183</v>
      </c>
      <c r="K20" s="352" t="s">
        <v>364</v>
      </c>
      <c r="L20" s="353">
        <v>646.01</v>
      </c>
      <c r="M20" s="353">
        <v>588.21</v>
      </c>
      <c r="N20" s="353">
        <v>4620.82</v>
      </c>
    </row>
    <row r="21" spans="1:16" x14ac:dyDescent="0.25">
      <c r="E21" s="393" t="s">
        <v>356</v>
      </c>
      <c r="F21" s="394">
        <v>245</v>
      </c>
      <c r="H21" s="352" t="s">
        <v>366</v>
      </c>
      <c r="I21" s="352" t="s">
        <v>21</v>
      </c>
      <c r="J21" s="352" t="s">
        <v>183</v>
      </c>
      <c r="K21" s="352" t="s">
        <v>365</v>
      </c>
      <c r="L21" s="353">
        <v>277.58999999999997</v>
      </c>
      <c r="M21" s="353">
        <v>195.02</v>
      </c>
      <c r="N21" s="353">
        <v>1970.28</v>
      </c>
    </row>
    <row r="22" spans="1:16" x14ac:dyDescent="0.25">
      <c r="H22" s="352" t="s">
        <v>366</v>
      </c>
      <c r="I22" s="352" t="s">
        <v>21</v>
      </c>
      <c r="J22" s="352" t="s">
        <v>183</v>
      </c>
      <c r="K22" s="352" t="s">
        <v>72</v>
      </c>
      <c r="L22" s="353">
        <v>2110.58</v>
      </c>
      <c r="M22" s="353">
        <v>560.24</v>
      </c>
      <c r="N22" s="353">
        <v>7776.39</v>
      </c>
      <c r="O22" s="364">
        <f>SUM(L14:N22)</f>
        <v>143819.9</v>
      </c>
      <c r="P22" s="365" t="s">
        <v>371</v>
      </c>
    </row>
    <row r="23" spans="1:16" x14ac:dyDescent="0.25">
      <c r="H23" s="366" t="s">
        <v>366</v>
      </c>
      <c r="I23" s="366" t="s">
        <v>43</v>
      </c>
      <c r="J23" s="366" t="s">
        <v>21</v>
      </c>
      <c r="K23" s="366" t="s">
        <v>21</v>
      </c>
      <c r="L23" s="367">
        <v>40128.81</v>
      </c>
      <c r="M23" s="367">
        <v>53108.81</v>
      </c>
      <c r="N23" s="367">
        <v>143960.28</v>
      </c>
    </row>
    <row r="24" spans="1:16" x14ac:dyDescent="0.25">
      <c r="H24" s="366" t="s">
        <v>366</v>
      </c>
      <c r="I24" s="366" t="s">
        <v>45</v>
      </c>
      <c r="J24" s="366" t="s">
        <v>21</v>
      </c>
      <c r="K24" s="366" t="s">
        <v>21</v>
      </c>
      <c r="L24" s="367">
        <v>27666.15</v>
      </c>
      <c r="M24" s="367">
        <v>26273.97</v>
      </c>
      <c r="N24" s="367">
        <v>138216.15</v>
      </c>
    </row>
    <row r="25" spans="1:16" x14ac:dyDescent="0.25">
      <c r="H25" s="366" t="s">
        <v>366</v>
      </c>
      <c r="I25" s="366" t="s">
        <v>46</v>
      </c>
      <c r="J25" s="366" t="s">
        <v>21</v>
      </c>
      <c r="K25" s="366" t="s">
        <v>21</v>
      </c>
      <c r="L25" s="367">
        <v>8410.35</v>
      </c>
      <c r="M25" s="367">
        <v>13614.1</v>
      </c>
      <c r="N25" s="367">
        <v>49713.36</v>
      </c>
    </row>
    <row r="26" spans="1:16" x14ac:dyDescent="0.25">
      <c r="H26" s="366" t="s">
        <v>366</v>
      </c>
      <c r="I26" s="366" t="s">
        <v>50</v>
      </c>
      <c r="J26" s="366" t="s">
        <v>21</v>
      </c>
      <c r="K26" s="366" t="s">
        <v>21</v>
      </c>
      <c r="L26" s="367">
        <v>8568.5400000000009</v>
      </c>
      <c r="M26" s="367">
        <v>8940.02</v>
      </c>
      <c r="N26" s="367">
        <v>16727.78</v>
      </c>
      <c r="O26" s="368">
        <f>SUM(L23:N26)</f>
        <v>535328.31999999995</v>
      </c>
      <c r="P26" s="369" t="s">
        <v>369</v>
      </c>
    </row>
    <row r="27" spans="1:16" x14ac:dyDescent="0.25">
      <c r="H27" s="340" t="s">
        <v>366</v>
      </c>
      <c r="I27" s="340" t="s">
        <v>21</v>
      </c>
      <c r="J27" s="340" t="s">
        <v>21</v>
      </c>
      <c r="K27" s="340" t="s">
        <v>21</v>
      </c>
      <c r="L27" s="341">
        <v>16843.87</v>
      </c>
      <c r="M27" s="341">
        <v>18201.03</v>
      </c>
      <c r="N27" s="341">
        <v>24528.29</v>
      </c>
    </row>
    <row r="28" spans="1:16" x14ac:dyDescent="0.25">
      <c r="H28" s="340" t="s">
        <v>366</v>
      </c>
      <c r="I28" s="340" t="s">
        <v>43</v>
      </c>
      <c r="J28" s="340" t="s">
        <v>52</v>
      </c>
      <c r="K28" s="340" t="s">
        <v>178</v>
      </c>
      <c r="L28" s="341">
        <v>0</v>
      </c>
      <c r="M28" s="341">
        <v>224.56</v>
      </c>
      <c r="N28" s="341">
        <v>850.5</v>
      </c>
    </row>
    <row r="29" spans="1:16" x14ac:dyDescent="0.25">
      <c r="D29" s="345"/>
      <c r="E29" s="345"/>
      <c r="F29" s="345"/>
      <c r="H29" s="340" t="s">
        <v>366</v>
      </c>
      <c r="I29" s="340" t="s">
        <v>43</v>
      </c>
      <c r="J29" s="340" t="s">
        <v>55</v>
      </c>
      <c r="K29" s="340" t="s">
        <v>182</v>
      </c>
      <c r="L29" s="341">
        <v>0</v>
      </c>
      <c r="M29" s="341">
        <v>0</v>
      </c>
      <c r="N29" s="341">
        <v>0</v>
      </c>
    </row>
    <row r="30" spans="1:16" x14ac:dyDescent="0.25">
      <c r="D30" s="345"/>
      <c r="E30" s="345"/>
      <c r="F30" s="345"/>
      <c r="H30" s="340" t="s">
        <v>366</v>
      </c>
      <c r="I30" s="340" t="s">
        <v>43</v>
      </c>
      <c r="J30" s="340" t="s">
        <v>55</v>
      </c>
      <c r="K30" s="340" t="s">
        <v>72</v>
      </c>
      <c r="L30" s="341">
        <v>336.01</v>
      </c>
      <c r="M30" s="341">
        <v>0</v>
      </c>
      <c r="N30" s="341">
        <v>855.54</v>
      </c>
    </row>
    <row r="31" spans="1:16" x14ac:dyDescent="0.25">
      <c r="H31" s="340" t="s">
        <v>366</v>
      </c>
      <c r="I31" s="340" t="s">
        <v>43</v>
      </c>
      <c r="J31" s="340" t="s">
        <v>183</v>
      </c>
      <c r="K31" s="340" t="s">
        <v>365</v>
      </c>
      <c r="L31" s="341">
        <v>0</v>
      </c>
      <c r="M31" s="341">
        <v>54.91</v>
      </c>
      <c r="N31" s="341">
        <v>27.42</v>
      </c>
    </row>
    <row r="32" spans="1:16" x14ac:dyDescent="0.25">
      <c r="H32" s="340" t="s">
        <v>366</v>
      </c>
      <c r="I32" s="340" t="s">
        <v>45</v>
      </c>
      <c r="J32" s="340" t="s">
        <v>55</v>
      </c>
      <c r="K32" s="340" t="s">
        <v>72</v>
      </c>
      <c r="L32" s="341">
        <v>225.14</v>
      </c>
      <c r="M32" s="341">
        <v>265.36</v>
      </c>
      <c r="N32" s="341">
        <v>894.91</v>
      </c>
    </row>
    <row r="33" spans="8:14" x14ac:dyDescent="0.25">
      <c r="H33" s="340" t="s">
        <v>366</v>
      </c>
      <c r="I33" s="340" t="s">
        <v>45</v>
      </c>
      <c r="J33" s="340" t="s">
        <v>183</v>
      </c>
      <c r="K33" s="340" t="s">
        <v>363</v>
      </c>
      <c r="L33" s="341">
        <v>524.86</v>
      </c>
      <c r="M33" s="341">
        <v>405.39</v>
      </c>
      <c r="N33" s="341">
        <v>3797.9</v>
      </c>
    </row>
    <row r="34" spans="8:14" x14ac:dyDescent="0.25">
      <c r="H34" s="340" t="s">
        <v>366</v>
      </c>
      <c r="I34" s="340" t="s">
        <v>45</v>
      </c>
      <c r="J34" s="340" t="s">
        <v>183</v>
      </c>
      <c r="K34" s="340" t="s">
        <v>364</v>
      </c>
      <c r="L34" s="341">
        <v>965.29</v>
      </c>
      <c r="M34" s="341">
        <v>725.15</v>
      </c>
      <c r="N34" s="341">
        <v>8991.41</v>
      </c>
    </row>
    <row r="35" spans="8:14" x14ac:dyDescent="0.25">
      <c r="H35" s="340" t="s">
        <v>366</v>
      </c>
      <c r="I35" s="340" t="s">
        <v>45</v>
      </c>
      <c r="J35" s="340" t="s">
        <v>183</v>
      </c>
      <c r="K35" s="340" t="s">
        <v>365</v>
      </c>
      <c r="L35" s="341">
        <v>0</v>
      </c>
      <c r="M35" s="341">
        <v>278.27999999999997</v>
      </c>
      <c r="N35" s="341">
        <v>983.61</v>
      </c>
    </row>
    <row r="36" spans="8:14" x14ac:dyDescent="0.25">
      <c r="H36" s="340" t="s">
        <v>366</v>
      </c>
      <c r="I36" s="340" t="s">
        <v>45</v>
      </c>
      <c r="J36" s="340" t="s">
        <v>183</v>
      </c>
      <c r="K36" s="340" t="s">
        <v>72</v>
      </c>
      <c r="L36" s="341">
        <v>385.22</v>
      </c>
      <c r="M36" s="341">
        <v>355.92</v>
      </c>
      <c r="N36" s="341">
        <v>4590.8500000000004</v>
      </c>
    </row>
    <row r="37" spans="8:14" x14ac:dyDescent="0.25">
      <c r="H37" s="340" t="s">
        <v>366</v>
      </c>
      <c r="I37" s="340" t="s">
        <v>46</v>
      </c>
      <c r="J37" s="340" t="s">
        <v>183</v>
      </c>
      <c r="K37" s="340" t="s">
        <v>363</v>
      </c>
      <c r="L37" s="341">
        <v>0</v>
      </c>
      <c r="M37" s="341">
        <v>445.88</v>
      </c>
      <c r="N37" s="341">
        <v>3772.25</v>
      </c>
    </row>
    <row r="38" spans="8:14" x14ac:dyDescent="0.25">
      <c r="H38" s="340" t="s">
        <v>366</v>
      </c>
      <c r="I38" s="340" t="s">
        <v>46</v>
      </c>
      <c r="J38" s="340" t="s">
        <v>183</v>
      </c>
      <c r="K38" s="340" t="s">
        <v>364</v>
      </c>
      <c r="L38" s="341">
        <v>0</v>
      </c>
      <c r="M38" s="341">
        <v>367.44</v>
      </c>
      <c r="N38" s="341">
        <v>1002.68</v>
      </c>
    </row>
    <row r="39" spans="8:14" x14ac:dyDescent="0.25">
      <c r="H39" s="340" t="s">
        <v>366</v>
      </c>
      <c r="I39" s="340" t="s">
        <v>46</v>
      </c>
      <c r="J39" s="340" t="s">
        <v>183</v>
      </c>
      <c r="K39" s="340" t="s">
        <v>365</v>
      </c>
      <c r="L39" s="341">
        <v>0</v>
      </c>
      <c r="M39" s="341">
        <v>0</v>
      </c>
      <c r="N39" s="341">
        <v>1310.1600000000001</v>
      </c>
    </row>
    <row r="40" spans="8:14" x14ac:dyDescent="0.25">
      <c r="H40" s="340" t="s">
        <v>366</v>
      </c>
      <c r="I40" s="340" t="s">
        <v>50</v>
      </c>
      <c r="J40" s="340" t="s">
        <v>52</v>
      </c>
      <c r="K40" s="340" t="s">
        <v>178</v>
      </c>
      <c r="L40" s="341">
        <v>1053.8699999999999</v>
      </c>
      <c r="M40" s="341">
        <v>15389.86</v>
      </c>
      <c r="N40" s="341">
        <v>12193.32</v>
      </c>
    </row>
    <row r="41" spans="8:14" x14ac:dyDescent="0.25">
      <c r="H41" s="340" t="s">
        <v>366</v>
      </c>
      <c r="I41" s="340" t="s">
        <v>50</v>
      </c>
      <c r="J41" s="340" t="s">
        <v>52</v>
      </c>
      <c r="K41" s="340" t="s">
        <v>240</v>
      </c>
      <c r="L41" s="341">
        <v>365.24</v>
      </c>
      <c r="M41" s="341">
        <v>0</v>
      </c>
      <c r="N41" s="341">
        <v>6621.76</v>
      </c>
    </row>
    <row r="42" spans="8:14" x14ac:dyDescent="0.25">
      <c r="H42" s="340" t="s">
        <v>366</v>
      </c>
      <c r="I42" s="340" t="s">
        <v>50</v>
      </c>
      <c r="J42" s="340" t="s">
        <v>52</v>
      </c>
      <c r="K42" s="340" t="s">
        <v>72</v>
      </c>
      <c r="L42" s="341">
        <v>0</v>
      </c>
      <c r="M42" s="341">
        <v>0</v>
      </c>
      <c r="N42" s="341">
        <v>0</v>
      </c>
    </row>
    <row r="43" spans="8:14" x14ac:dyDescent="0.25">
      <c r="H43" s="340" t="s">
        <v>366</v>
      </c>
      <c r="I43" s="340" t="s">
        <v>50</v>
      </c>
      <c r="J43" s="340" t="s">
        <v>55</v>
      </c>
      <c r="K43" s="340" t="s">
        <v>72</v>
      </c>
      <c r="L43" s="341">
        <v>0</v>
      </c>
      <c r="M43" s="341">
        <v>184.45</v>
      </c>
      <c r="N43" s="341">
        <v>0</v>
      </c>
    </row>
    <row r="44" spans="8:14" x14ac:dyDescent="0.25">
      <c r="H44" s="340" t="s">
        <v>366</v>
      </c>
      <c r="I44" s="340" t="s">
        <v>50</v>
      </c>
      <c r="J44" s="340" t="s">
        <v>183</v>
      </c>
      <c r="K44" s="340" t="s">
        <v>364</v>
      </c>
      <c r="L44" s="341">
        <v>0</v>
      </c>
      <c r="M44" s="341">
        <v>322.32</v>
      </c>
      <c r="N44" s="341">
        <v>0</v>
      </c>
    </row>
  </sheetData>
  <mergeCells count="13">
    <mergeCell ref="A1:F1"/>
    <mergeCell ref="H1:N1"/>
    <mergeCell ref="A2:F2"/>
    <mergeCell ref="H2:N2"/>
    <mergeCell ref="A3:F3"/>
    <mergeCell ref="H3:N3"/>
    <mergeCell ref="D19:E19"/>
    <mergeCell ref="A4:F4"/>
    <mergeCell ref="H4:N4"/>
    <mergeCell ref="A5:F5"/>
    <mergeCell ref="H5:N5"/>
    <mergeCell ref="D16:E16"/>
    <mergeCell ref="D17:E17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P50"/>
  <sheetViews>
    <sheetView topLeftCell="A5" zoomScale="80" zoomScaleNormal="80" workbookViewId="0">
      <selection activeCell="C13" sqref="C13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366</v>
      </c>
      <c r="B8" s="340" t="s">
        <v>38</v>
      </c>
      <c r="C8" s="340" t="s">
        <v>3</v>
      </c>
      <c r="D8" s="342">
        <v>0</v>
      </c>
      <c r="E8" s="342">
        <v>1608.22</v>
      </c>
      <c r="F8" s="342">
        <v>43855.72</v>
      </c>
      <c r="H8" s="343" t="s">
        <v>366</v>
      </c>
      <c r="I8" s="343" t="s">
        <v>21</v>
      </c>
      <c r="J8" s="343" t="s">
        <v>52</v>
      </c>
      <c r="K8" s="343" t="s">
        <v>209</v>
      </c>
      <c r="L8" s="344">
        <v>1263.81</v>
      </c>
      <c r="M8" s="344">
        <v>227.15</v>
      </c>
      <c r="N8" s="344">
        <v>54210.97</v>
      </c>
    </row>
    <row r="9" spans="1:16" x14ac:dyDescent="0.25">
      <c r="A9" s="340" t="s">
        <v>366</v>
      </c>
      <c r="B9" s="340" t="s">
        <v>38</v>
      </c>
      <c r="C9" s="340" t="s">
        <v>323</v>
      </c>
      <c r="D9" s="342">
        <v>2436.2399999999998</v>
      </c>
      <c r="E9" s="342">
        <v>547.32000000000005</v>
      </c>
      <c r="F9" s="342">
        <v>34.130000000000003</v>
      </c>
      <c r="H9" s="343" t="s">
        <v>366</v>
      </c>
      <c r="I9" s="343" t="s">
        <v>21</v>
      </c>
      <c r="J9" s="343" t="s">
        <v>52</v>
      </c>
      <c r="K9" s="343" t="s">
        <v>178</v>
      </c>
      <c r="L9" s="344">
        <v>12495.99</v>
      </c>
      <c r="M9" s="344">
        <v>2712.37</v>
      </c>
      <c r="N9" s="344">
        <v>40076.519999999997</v>
      </c>
    </row>
    <row r="10" spans="1:16" x14ac:dyDescent="0.25">
      <c r="A10" s="340" t="s">
        <v>366</v>
      </c>
      <c r="B10" s="340" t="s">
        <v>38</v>
      </c>
      <c r="C10" s="340" t="s">
        <v>41</v>
      </c>
      <c r="D10" s="342">
        <v>185795.46</v>
      </c>
      <c r="E10" s="342">
        <v>75479.259999999995</v>
      </c>
      <c r="F10" s="342">
        <v>749532.84</v>
      </c>
      <c r="H10" s="343" t="s">
        <v>366</v>
      </c>
      <c r="I10" s="343" t="s">
        <v>21</v>
      </c>
      <c r="J10" s="343" t="s">
        <v>52</v>
      </c>
      <c r="K10" s="343" t="s">
        <v>332</v>
      </c>
      <c r="L10" s="344">
        <v>3801.89</v>
      </c>
      <c r="M10" s="344">
        <v>797.61</v>
      </c>
      <c r="N10" s="344">
        <v>18217.09</v>
      </c>
    </row>
    <row r="11" spans="1:16" x14ac:dyDescent="0.25">
      <c r="A11" s="340" t="s">
        <v>366</v>
      </c>
      <c r="B11" s="340" t="s">
        <v>39</v>
      </c>
      <c r="C11" s="340" t="s">
        <v>41</v>
      </c>
      <c r="D11" s="342">
        <v>32244.240000000002</v>
      </c>
      <c r="E11" s="342">
        <v>6281.23</v>
      </c>
      <c r="F11" s="342">
        <v>134516.51999999999</v>
      </c>
      <c r="H11" s="343" t="s">
        <v>366</v>
      </c>
      <c r="I11" s="343" t="s">
        <v>21</v>
      </c>
      <c r="J11" s="343" t="s">
        <v>52</v>
      </c>
      <c r="K11" s="343" t="s">
        <v>210</v>
      </c>
      <c r="L11" s="344">
        <v>1450.12</v>
      </c>
      <c r="M11" s="344">
        <v>66.02</v>
      </c>
      <c r="N11" s="344">
        <v>70210.350000000006</v>
      </c>
    </row>
    <row r="12" spans="1:16" x14ac:dyDescent="0.25">
      <c r="H12" s="343" t="s">
        <v>366</v>
      </c>
      <c r="I12" s="343" t="s">
        <v>21</v>
      </c>
      <c r="J12" s="343" t="s">
        <v>52</v>
      </c>
      <c r="K12" s="343" t="s">
        <v>72</v>
      </c>
      <c r="L12" s="344">
        <v>11183.79</v>
      </c>
      <c r="M12" s="344">
        <v>375.85</v>
      </c>
      <c r="N12" s="344">
        <v>26372.93</v>
      </c>
      <c r="O12" s="346">
        <f>SUM(L8:N12)</f>
        <v>243462.46</v>
      </c>
      <c r="P12" s="347" t="s">
        <v>52</v>
      </c>
    </row>
    <row r="13" spans="1:16" x14ac:dyDescent="0.25">
      <c r="H13" s="348" t="s">
        <v>366</v>
      </c>
      <c r="I13" s="348" t="s">
        <v>21</v>
      </c>
      <c r="J13" s="348" t="s">
        <v>52</v>
      </c>
      <c r="K13" s="348" t="s">
        <v>240</v>
      </c>
      <c r="L13" s="349">
        <v>1805.29</v>
      </c>
      <c r="M13" s="349">
        <v>319.31</v>
      </c>
      <c r="N13" s="349">
        <v>101043.16</v>
      </c>
      <c r="O13" s="350">
        <f>SUM(L13:N13)</f>
        <v>103167.76000000001</v>
      </c>
      <c r="P13" s="351" t="s">
        <v>254</v>
      </c>
    </row>
    <row r="14" spans="1:16" x14ac:dyDescent="0.25">
      <c r="H14" s="352" t="s">
        <v>366</v>
      </c>
      <c r="I14" s="352" t="s">
        <v>21</v>
      </c>
      <c r="J14" s="352" t="s">
        <v>55</v>
      </c>
      <c r="K14" s="352" t="s">
        <v>182</v>
      </c>
      <c r="L14" s="353">
        <v>1254.78</v>
      </c>
      <c r="M14" s="353">
        <v>0</v>
      </c>
      <c r="N14" s="353">
        <v>5.15</v>
      </c>
    </row>
    <row r="15" spans="1:16" x14ac:dyDescent="0.25">
      <c r="A15" s="354" t="s">
        <v>79</v>
      </c>
      <c r="B15" s="355" t="s">
        <v>80</v>
      </c>
      <c r="D15" s="356" t="s">
        <v>184</v>
      </c>
      <c r="E15" s="357"/>
      <c r="F15" s="358" t="s">
        <v>185</v>
      </c>
      <c r="H15" s="352" t="s">
        <v>366</v>
      </c>
      <c r="I15" s="352" t="s">
        <v>21</v>
      </c>
      <c r="J15" s="352" t="s">
        <v>55</v>
      </c>
      <c r="K15" s="352" t="s">
        <v>54</v>
      </c>
      <c r="L15" s="353">
        <v>328.74</v>
      </c>
      <c r="M15" s="353">
        <v>532.02</v>
      </c>
      <c r="N15" s="353">
        <v>2609.42</v>
      </c>
    </row>
    <row r="16" spans="1:16" x14ac:dyDescent="0.25">
      <c r="A16" s="336" t="s">
        <v>38</v>
      </c>
      <c r="B16" s="359">
        <f>SUM(D10:F10)</f>
        <v>1010807.5599999999</v>
      </c>
      <c r="D16" s="502" t="s">
        <v>81</v>
      </c>
      <c r="E16" s="502"/>
      <c r="F16" s="360">
        <f>O12/B20</f>
        <v>0.1975625253594574</v>
      </c>
      <c r="H16" s="352" t="s">
        <v>366</v>
      </c>
      <c r="I16" s="352" t="s">
        <v>21</v>
      </c>
      <c r="J16" s="352" t="s">
        <v>55</v>
      </c>
      <c r="K16" s="352" t="s">
        <v>66</v>
      </c>
      <c r="L16" s="353">
        <v>710.29</v>
      </c>
      <c r="M16" s="353">
        <v>291.86</v>
      </c>
      <c r="N16" s="353">
        <v>3304.96</v>
      </c>
    </row>
    <row r="17" spans="1:16" x14ac:dyDescent="0.25">
      <c r="A17" s="336" t="s">
        <v>39</v>
      </c>
      <c r="B17" s="359">
        <f>SUM(D11:F11)</f>
        <v>173041.99</v>
      </c>
      <c r="D17" s="481" t="s">
        <v>253</v>
      </c>
      <c r="E17" s="481"/>
      <c r="F17" s="360">
        <f>O13/B20</f>
        <v>8.3717560404501026E-2</v>
      </c>
      <c r="H17" s="352" t="s">
        <v>366</v>
      </c>
      <c r="I17" s="352" t="s">
        <v>21</v>
      </c>
      <c r="J17" s="352" t="s">
        <v>55</v>
      </c>
      <c r="K17" s="352" t="s">
        <v>67</v>
      </c>
      <c r="L17" s="353">
        <v>305.57</v>
      </c>
      <c r="M17" s="353">
        <v>0</v>
      </c>
      <c r="N17" s="353">
        <v>737.18</v>
      </c>
    </row>
    <row r="18" spans="1:16" x14ac:dyDescent="0.25">
      <c r="A18" s="336" t="s">
        <v>2</v>
      </c>
      <c r="B18" s="359">
        <f>SUM(D9:F9)</f>
        <v>3017.69</v>
      </c>
      <c r="D18" s="336" t="s">
        <v>78</v>
      </c>
      <c r="F18" s="360">
        <f>O26/B20</f>
        <v>9.8602447111660371E-2</v>
      </c>
      <c r="H18" s="352" t="s">
        <v>366</v>
      </c>
      <c r="I18" s="352" t="s">
        <v>21</v>
      </c>
      <c r="J18" s="352" t="s">
        <v>55</v>
      </c>
      <c r="K18" s="352" t="s">
        <v>68</v>
      </c>
      <c r="L18" s="353">
        <v>497.73</v>
      </c>
      <c r="M18" s="353">
        <v>0</v>
      </c>
      <c r="N18" s="353">
        <v>3329.98</v>
      </c>
    </row>
    <row r="19" spans="1:16" x14ac:dyDescent="0.25">
      <c r="A19" s="336" t="s">
        <v>3</v>
      </c>
      <c r="B19" s="359">
        <f>SUM(D8:F8)</f>
        <v>45463.94</v>
      </c>
      <c r="D19" s="481" t="s">
        <v>42</v>
      </c>
      <c r="E19" s="481"/>
      <c r="F19" s="360">
        <f>O30/B20</f>
        <v>0.45320043756419459</v>
      </c>
      <c r="H19" s="352" t="s">
        <v>366</v>
      </c>
      <c r="I19" s="352" t="s">
        <v>21</v>
      </c>
      <c r="J19" s="352" t="s">
        <v>55</v>
      </c>
      <c r="K19" s="352" t="s">
        <v>72</v>
      </c>
      <c r="L19" s="353">
        <v>9229.7800000000007</v>
      </c>
      <c r="M19" s="353">
        <v>2555.11</v>
      </c>
      <c r="N19" s="353">
        <v>76537.210000000006</v>
      </c>
    </row>
    <row r="20" spans="1:16" ht="15.75" thickBot="1" x14ac:dyDescent="0.3">
      <c r="A20" s="361"/>
      <c r="B20" s="404">
        <f>SUM(B16:B19)</f>
        <v>1232331.1799999997</v>
      </c>
      <c r="F20" s="363">
        <f>SUM(F16:F19)</f>
        <v>0.83308297043981339</v>
      </c>
      <c r="H20" s="352" t="s">
        <v>366</v>
      </c>
      <c r="I20" s="352" t="s">
        <v>21</v>
      </c>
      <c r="J20" s="352" t="s">
        <v>183</v>
      </c>
      <c r="K20" s="352" t="s">
        <v>360</v>
      </c>
      <c r="L20" s="353">
        <v>0</v>
      </c>
      <c r="M20" s="353">
        <v>0</v>
      </c>
      <c r="N20" s="353">
        <v>372.72</v>
      </c>
    </row>
    <row r="21" spans="1:16" x14ac:dyDescent="0.25">
      <c r="E21" s="393" t="s">
        <v>356</v>
      </c>
      <c r="F21" s="394">
        <v>230</v>
      </c>
      <c r="H21" s="352" t="s">
        <v>366</v>
      </c>
      <c r="I21" s="352" t="s">
        <v>21</v>
      </c>
      <c r="J21" s="352" t="s">
        <v>183</v>
      </c>
      <c r="K21" s="352" t="s">
        <v>361</v>
      </c>
      <c r="L21" s="353">
        <v>116.71</v>
      </c>
      <c r="M21" s="353">
        <v>0</v>
      </c>
      <c r="N21" s="353">
        <v>171.23</v>
      </c>
    </row>
    <row r="22" spans="1:16" x14ac:dyDescent="0.25">
      <c r="H22" s="352" t="s">
        <v>366</v>
      </c>
      <c r="I22" s="352" t="s">
        <v>21</v>
      </c>
      <c r="J22" s="352" t="s">
        <v>183</v>
      </c>
      <c r="K22" s="352" t="s">
        <v>362</v>
      </c>
      <c r="L22" s="353">
        <v>234.87</v>
      </c>
      <c r="M22" s="353">
        <v>0</v>
      </c>
      <c r="N22" s="353">
        <v>150.32</v>
      </c>
    </row>
    <row r="23" spans="1:16" x14ac:dyDescent="0.25">
      <c r="H23" s="352" t="s">
        <v>366</v>
      </c>
      <c r="I23" s="352" t="s">
        <v>21</v>
      </c>
      <c r="J23" s="352" t="s">
        <v>183</v>
      </c>
      <c r="K23" s="352" t="s">
        <v>363</v>
      </c>
      <c r="L23" s="353">
        <v>825.06</v>
      </c>
      <c r="M23" s="353">
        <v>283.37</v>
      </c>
      <c r="N23" s="353">
        <v>2508.75</v>
      </c>
    </row>
    <row r="24" spans="1:16" x14ac:dyDescent="0.25">
      <c r="H24" s="352" t="s">
        <v>366</v>
      </c>
      <c r="I24" s="352" t="s">
        <v>21</v>
      </c>
      <c r="J24" s="352" t="s">
        <v>183</v>
      </c>
      <c r="K24" s="352" t="s">
        <v>364</v>
      </c>
      <c r="L24" s="353">
        <v>309.22000000000003</v>
      </c>
      <c r="M24" s="353">
        <v>0</v>
      </c>
      <c r="N24" s="353">
        <v>3060.51</v>
      </c>
    </row>
    <row r="25" spans="1:16" x14ac:dyDescent="0.25">
      <c r="H25" s="352" t="s">
        <v>366</v>
      </c>
      <c r="I25" s="352" t="s">
        <v>21</v>
      </c>
      <c r="J25" s="352" t="s">
        <v>183</v>
      </c>
      <c r="K25" s="352" t="s">
        <v>365</v>
      </c>
      <c r="L25" s="353">
        <v>0</v>
      </c>
      <c r="M25" s="353">
        <v>0</v>
      </c>
      <c r="N25" s="353">
        <v>518</v>
      </c>
    </row>
    <row r="26" spans="1:16" x14ac:dyDescent="0.25">
      <c r="H26" s="352" t="s">
        <v>366</v>
      </c>
      <c r="I26" s="352" t="s">
        <v>21</v>
      </c>
      <c r="J26" s="352" t="s">
        <v>183</v>
      </c>
      <c r="K26" s="352" t="s">
        <v>72</v>
      </c>
      <c r="L26" s="353">
        <v>1332.65</v>
      </c>
      <c r="M26" s="353">
        <v>51.8</v>
      </c>
      <c r="N26" s="353">
        <v>9345.8799999999992</v>
      </c>
      <c r="O26" s="364">
        <f>SUM(L14:N26)</f>
        <v>121510.87</v>
      </c>
      <c r="P26" s="365" t="s">
        <v>110</v>
      </c>
    </row>
    <row r="27" spans="1:16" x14ac:dyDescent="0.25">
      <c r="H27" s="366" t="s">
        <v>366</v>
      </c>
      <c r="I27" s="366" t="s">
        <v>43</v>
      </c>
      <c r="J27" s="366" t="s">
        <v>21</v>
      </c>
      <c r="K27" s="366" t="s">
        <v>21</v>
      </c>
      <c r="L27" s="367">
        <v>57548.72</v>
      </c>
      <c r="M27" s="367">
        <v>6360.53</v>
      </c>
      <c r="N27" s="367">
        <v>162314.79</v>
      </c>
    </row>
    <row r="28" spans="1:16" x14ac:dyDescent="0.25">
      <c r="H28" s="366" t="s">
        <v>366</v>
      </c>
      <c r="I28" s="366" t="s">
        <v>45</v>
      </c>
      <c r="J28" s="366" t="s">
        <v>21</v>
      </c>
      <c r="K28" s="366" t="s">
        <v>21</v>
      </c>
      <c r="L28" s="367">
        <v>27446.25</v>
      </c>
      <c r="M28" s="367">
        <v>8337.35</v>
      </c>
      <c r="N28" s="367">
        <v>155764.06</v>
      </c>
    </row>
    <row r="29" spans="1:16" x14ac:dyDescent="0.25">
      <c r="D29" s="345"/>
      <c r="E29" s="345"/>
      <c r="F29" s="345"/>
      <c r="H29" s="366" t="s">
        <v>366</v>
      </c>
      <c r="I29" s="366" t="s">
        <v>46</v>
      </c>
      <c r="J29" s="366" t="s">
        <v>21</v>
      </c>
      <c r="K29" s="366" t="s">
        <v>21</v>
      </c>
      <c r="L29" s="367">
        <v>16922.560000000001</v>
      </c>
      <c r="M29" s="367">
        <v>5122.2700000000004</v>
      </c>
      <c r="N29" s="367">
        <v>52998</v>
      </c>
    </row>
    <row r="30" spans="1:16" x14ac:dyDescent="0.25">
      <c r="D30" s="345"/>
      <c r="E30" s="345"/>
      <c r="F30" s="345"/>
      <c r="H30" s="366" t="s">
        <v>366</v>
      </c>
      <c r="I30" s="366" t="s">
        <v>50</v>
      </c>
      <c r="J30" s="366" t="s">
        <v>21</v>
      </c>
      <c r="K30" s="366" t="s">
        <v>21</v>
      </c>
      <c r="L30" s="367">
        <v>26086.28</v>
      </c>
      <c r="M30" s="367">
        <v>11993.43</v>
      </c>
      <c r="N30" s="367">
        <v>27598.79</v>
      </c>
      <c r="O30" s="368">
        <f>SUM(L27:N30)</f>
        <v>558493.03000000014</v>
      </c>
      <c r="P30" s="369" t="s">
        <v>369</v>
      </c>
    </row>
    <row r="31" spans="1:16" x14ac:dyDescent="0.25">
      <c r="H31" s="340" t="s">
        <v>366</v>
      </c>
      <c r="I31" s="340" t="s">
        <v>21</v>
      </c>
      <c r="J31" s="340" t="s">
        <v>21</v>
      </c>
      <c r="K31" s="340" t="s">
        <v>21</v>
      </c>
      <c r="L31" s="341">
        <v>22337.82</v>
      </c>
      <c r="M31" s="341">
        <v>42772.45</v>
      </c>
      <c r="N31" s="341">
        <v>64529.16</v>
      </c>
    </row>
    <row r="32" spans="1:16" x14ac:dyDescent="0.25">
      <c r="H32" s="340" t="s">
        <v>366</v>
      </c>
      <c r="I32" s="340" t="s">
        <v>43</v>
      </c>
      <c r="J32" s="340" t="s">
        <v>52</v>
      </c>
      <c r="K32" s="340" t="s">
        <v>178</v>
      </c>
      <c r="L32" s="341">
        <v>695.06</v>
      </c>
      <c r="M32" s="341">
        <v>76.66</v>
      </c>
      <c r="N32" s="341">
        <v>2031.42</v>
      </c>
    </row>
    <row r="33" spans="8:14" x14ac:dyDescent="0.25">
      <c r="H33" s="340" t="s">
        <v>366</v>
      </c>
      <c r="I33" s="340" t="s">
        <v>43</v>
      </c>
      <c r="J33" s="340" t="s">
        <v>55</v>
      </c>
      <c r="K33" s="340" t="s">
        <v>68</v>
      </c>
      <c r="L33" s="341">
        <v>526.67999999999995</v>
      </c>
      <c r="M33" s="341">
        <v>0</v>
      </c>
      <c r="N33" s="341">
        <v>0</v>
      </c>
    </row>
    <row r="34" spans="8:14" x14ac:dyDescent="0.25">
      <c r="H34" s="340" t="s">
        <v>366</v>
      </c>
      <c r="I34" s="340" t="s">
        <v>43</v>
      </c>
      <c r="J34" s="340" t="s">
        <v>183</v>
      </c>
      <c r="K34" s="340" t="s">
        <v>361</v>
      </c>
      <c r="L34" s="341">
        <v>159.77000000000001</v>
      </c>
      <c r="M34" s="341">
        <v>0</v>
      </c>
      <c r="N34" s="341">
        <v>1368.99</v>
      </c>
    </row>
    <row r="35" spans="8:14" x14ac:dyDescent="0.25">
      <c r="H35" s="340" t="s">
        <v>366</v>
      </c>
      <c r="I35" s="340" t="s">
        <v>43</v>
      </c>
      <c r="J35" s="340" t="s">
        <v>183</v>
      </c>
      <c r="K35" s="340" t="s">
        <v>363</v>
      </c>
      <c r="L35" s="341">
        <v>0</v>
      </c>
      <c r="M35" s="341">
        <v>0</v>
      </c>
      <c r="N35" s="341">
        <v>241.27</v>
      </c>
    </row>
    <row r="36" spans="8:14" x14ac:dyDescent="0.25">
      <c r="H36" s="340" t="s">
        <v>366</v>
      </c>
      <c r="I36" s="340" t="s">
        <v>45</v>
      </c>
      <c r="J36" s="340" t="s">
        <v>55</v>
      </c>
      <c r="K36" s="340" t="s">
        <v>72</v>
      </c>
      <c r="L36" s="341">
        <v>7.12</v>
      </c>
      <c r="M36" s="341">
        <v>0</v>
      </c>
      <c r="N36" s="341">
        <v>1457.56</v>
      </c>
    </row>
    <row r="37" spans="8:14" x14ac:dyDescent="0.25">
      <c r="H37" s="340" t="s">
        <v>366</v>
      </c>
      <c r="I37" s="340" t="s">
        <v>45</v>
      </c>
      <c r="J37" s="340" t="s">
        <v>183</v>
      </c>
      <c r="K37" s="340" t="s">
        <v>360</v>
      </c>
      <c r="L37" s="341">
        <v>0</v>
      </c>
      <c r="M37" s="341">
        <v>0</v>
      </c>
      <c r="N37" s="341">
        <v>570.72</v>
      </c>
    </row>
    <row r="38" spans="8:14" x14ac:dyDescent="0.25">
      <c r="H38" s="340" t="s">
        <v>366</v>
      </c>
      <c r="I38" s="340" t="s">
        <v>45</v>
      </c>
      <c r="J38" s="340" t="s">
        <v>183</v>
      </c>
      <c r="K38" s="340" t="s">
        <v>361</v>
      </c>
      <c r="L38" s="341">
        <v>278.27999999999997</v>
      </c>
      <c r="M38" s="341">
        <v>190.31</v>
      </c>
      <c r="N38" s="341">
        <v>943.3</v>
      </c>
    </row>
    <row r="39" spans="8:14" x14ac:dyDescent="0.25">
      <c r="H39" s="340" t="s">
        <v>366</v>
      </c>
      <c r="I39" s="340" t="s">
        <v>45</v>
      </c>
      <c r="J39" s="340" t="s">
        <v>183</v>
      </c>
      <c r="K39" s="340" t="s">
        <v>362</v>
      </c>
      <c r="L39" s="341">
        <v>0</v>
      </c>
      <c r="M39" s="341">
        <v>0</v>
      </c>
      <c r="N39" s="341">
        <v>743.05</v>
      </c>
    </row>
    <row r="40" spans="8:14" x14ac:dyDescent="0.25">
      <c r="H40" s="340" t="s">
        <v>366</v>
      </c>
      <c r="I40" s="340" t="s">
        <v>45</v>
      </c>
      <c r="J40" s="340" t="s">
        <v>183</v>
      </c>
      <c r="K40" s="340" t="s">
        <v>363</v>
      </c>
      <c r="L40" s="341">
        <v>725.15</v>
      </c>
      <c r="M40" s="341">
        <v>0</v>
      </c>
      <c r="N40" s="341">
        <v>6544.66</v>
      </c>
    </row>
    <row r="41" spans="8:14" x14ac:dyDescent="0.25">
      <c r="H41" s="340" t="s">
        <v>366</v>
      </c>
      <c r="I41" s="340" t="s">
        <v>45</v>
      </c>
      <c r="J41" s="340" t="s">
        <v>183</v>
      </c>
      <c r="K41" s="340" t="s">
        <v>364</v>
      </c>
      <c r="L41" s="341">
        <v>0</v>
      </c>
      <c r="M41" s="341">
        <v>0</v>
      </c>
      <c r="N41" s="341">
        <v>6022.63</v>
      </c>
    </row>
    <row r="42" spans="8:14" x14ac:dyDescent="0.25">
      <c r="H42" s="340" t="s">
        <v>366</v>
      </c>
      <c r="I42" s="340" t="s">
        <v>45</v>
      </c>
      <c r="J42" s="340" t="s">
        <v>183</v>
      </c>
      <c r="K42" s="340" t="s">
        <v>365</v>
      </c>
      <c r="L42" s="341">
        <v>0</v>
      </c>
      <c r="M42" s="341">
        <v>60.9</v>
      </c>
      <c r="N42" s="341">
        <v>1206.31</v>
      </c>
    </row>
    <row r="43" spans="8:14" x14ac:dyDescent="0.25">
      <c r="H43" s="340" t="s">
        <v>366</v>
      </c>
      <c r="I43" s="340" t="s">
        <v>45</v>
      </c>
      <c r="J43" s="340" t="s">
        <v>183</v>
      </c>
      <c r="K43" s="340" t="s">
        <v>72</v>
      </c>
      <c r="L43" s="341">
        <v>444.46</v>
      </c>
      <c r="M43" s="341">
        <v>0</v>
      </c>
      <c r="N43" s="341">
        <v>3621.44</v>
      </c>
    </row>
    <row r="44" spans="8:14" x14ac:dyDescent="0.25">
      <c r="H44" s="340" t="s">
        <v>366</v>
      </c>
      <c r="I44" s="340" t="s">
        <v>46</v>
      </c>
      <c r="J44" s="340" t="s">
        <v>183</v>
      </c>
      <c r="K44" s="340" t="s">
        <v>361</v>
      </c>
      <c r="L44" s="341">
        <v>0</v>
      </c>
      <c r="M44" s="341">
        <v>319.14999999999998</v>
      </c>
      <c r="N44" s="341">
        <v>1051.6099999999999</v>
      </c>
    </row>
    <row r="45" spans="8:14" x14ac:dyDescent="0.25">
      <c r="H45" s="340" t="s">
        <v>366</v>
      </c>
      <c r="I45" s="340" t="s">
        <v>46</v>
      </c>
      <c r="J45" s="340" t="s">
        <v>183</v>
      </c>
      <c r="K45" s="340" t="s">
        <v>363</v>
      </c>
      <c r="L45" s="341">
        <v>526.04999999999995</v>
      </c>
      <c r="M45" s="341">
        <v>265.74</v>
      </c>
      <c r="N45" s="341">
        <v>3352.38</v>
      </c>
    </row>
    <row r="46" spans="8:14" x14ac:dyDescent="0.25">
      <c r="H46" s="340" t="s">
        <v>366</v>
      </c>
      <c r="I46" s="340" t="s">
        <v>46</v>
      </c>
      <c r="J46" s="340" t="s">
        <v>183</v>
      </c>
      <c r="K46" s="340" t="s">
        <v>72</v>
      </c>
      <c r="L46" s="341">
        <v>0</v>
      </c>
      <c r="M46" s="341">
        <v>0</v>
      </c>
      <c r="N46" s="341">
        <v>2012.49</v>
      </c>
    </row>
    <row r="47" spans="8:14" x14ac:dyDescent="0.25">
      <c r="H47" s="340" t="s">
        <v>366</v>
      </c>
      <c r="I47" s="340" t="s">
        <v>50</v>
      </c>
      <c r="J47" s="340" t="s">
        <v>52</v>
      </c>
      <c r="K47" s="340" t="s">
        <v>178</v>
      </c>
      <c r="L47" s="341">
        <v>18907.62</v>
      </c>
      <c r="M47" s="341">
        <v>0</v>
      </c>
      <c r="N47" s="341">
        <v>14260.08</v>
      </c>
    </row>
    <row r="48" spans="8:14" x14ac:dyDescent="0.25">
      <c r="H48" s="340" t="s">
        <v>366</v>
      </c>
      <c r="I48" s="340" t="s">
        <v>50</v>
      </c>
      <c r="J48" s="340" t="s">
        <v>52</v>
      </c>
      <c r="K48" s="340" t="s">
        <v>240</v>
      </c>
      <c r="L48" s="341">
        <v>0</v>
      </c>
      <c r="M48" s="341">
        <v>0</v>
      </c>
      <c r="N48" s="341">
        <v>6524.17</v>
      </c>
    </row>
    <row r="49" spans="8:14" x14ac:dyDescent="0.25">
      <c r="H49" s="340" t="s">
        <v>366</v>
      </c>
      <c r="I49" s="340" t="s">
        <v>50</v>
      </c>
      <c r="J49" s="340" t="s">
        <v>55</v>
      </c>
      <c r="K49" s="340" t="s">
        <v>72</v>
      </c>
      <c r="L49" s="341">
        <v>0</v>
      </c>
      <c r="M49" s="341">
        <v>204.77</v>
      </c>
      <c r="N49" s="341">
        <v>0</v>
      </c>
    </row>
    <row r="50" spans="8:14" x14ac:dyDescent="0.25">
      <c r="H50" s="340" t="s">
        <v>366</v>
      </c>
      <c r="I50" s="340" t="s">
        <v>50</v>
      </c>
      <c r="J50" s="340" t="s">
        <v>183</v>
      </c>
      <c r="K50" s="340" t="s">
        <v>364</v>
      </c>
      <c r="L50" s="341">
        <v>717.83</v>
      </c>
      <c r="M50" s="341">
        <v>0</v>
      </c>
      <c r="N50" s="341">
        <v>0</v>
      </c>
    </row>
  </sheetData>
  <mergeCells count="13">
    <mergeCell ref="D19:E19"/>
    <mergeCell ref="A4:F4"/>
    <mergeCell ref="H4:N4"/>
    <mergeCell ref="A5:F5"/>
    <mergeCell ref="H5:N5"/>
    <mergeCell ref="D16:E16"/>
    <mergeCell ref="D17:E17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P54"/>
  <sheetViews>
    <sheetView zoomScale="80" zoomScaleNormal="80" workbookViewId="0">
      <selection activeCell="B22" sqref="B22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2" style="336" bestFit="1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366</v>
      </c>
      <c r="B8" s="340" t="s">
        <v>38</v>
      </c>
      <c r="C8" s="340" t="s">
        <v>3</v>
      </c>
      <c r="D8" s="342">
        <v>1625.97</v>
      </c>
      <c r="E8" s="342">
        <v>0</v>
      </c>
      <c r="F8" s="342">
        <v>43802.67</v>
      </c>
      <c r="H8" s="343" t="s">
        <v>366</v>
      </c>
      <c r="I8" s="343" t="s">
        <v>21</v>
      </c>
      <c r="J8" s="343" t="s">
        <v>52</v>
      </c>
      <c r="K8" s="343" t="s">
        <v>209</v>
      </c>
      <c r="L8" s="344">
        <v>227.15</v>
      </c>
      <c r="M8" s="344">
        <v>7591.98</v>
      </c>
      <c r="N8" s="344">
        <v>46096.46</v>
      </c>
    </row>
    <row r="9" spans="1:16" x14ac:dyDescent="0.25">
      <c r="A9" s="340" t="s">
        <v>366</v>
      </c>
      <c r="B9" s="340" t="s">
        <v>38</v>
      </c>
      <c r="C9" s="340" t="s">
        <v>323</v>
      </c>
      <c r="D9" s="342">
        <v>587.32000000000005</v>
      </c>
      <c r="E9" s="342">
        <v>23.13</v>
      </c>
      <c r="F9" s="342">
        <v>17.48</v>
      </c>
      <c r="H9" s="343" t="s">
        <v>366</v>
      </c>
      <c r="I9" s="343" t="s">
        <v>21</v>
      </c>
      <c r="J9" s="343" t="s">
        <v>52</v>
      </c>
      <c r="K9" s="343" t="s">
        <v>178</v>
      </c>
      <c r="L9" s="344">
        <v>1016.26</v>
      </c>
      <c r="M9" s="344">
        <v>5433.59</v>
      </c>
      <c r="N9" s="344">
        <v>41866.089999999997</v>
      </c>
    </row>
    <row r="10" spans="1:16" x14ac:dyDescent="0.25">
      <c r="A10" s="340" t="s">
        <v>366</v>
      </c>
      <c r="B10" s="340" t="s">
        <v>38</v>
      </c>
      <c r="C10" s="340" t="s">
        <v>41</v>
      </c>
      <c r="D10" s="342">
        <v>94707.9</v>
      </c>
      <c r="E10" s="342">
        <v>91289</v>
      </c>
      <c r="F10" s="342">
        <v>772413.22</v>
      </c>
      <c r="H10" s="343" t="s">
        <v>366</v>
      </c>
      <c r="I10" s="343" t="s">
        <v>21</v>
      </c>
      <c r="J10" s="343" t="s">
        <v>52</v>
      </c>
      <c r="K10" s="343" t="s">
        <v>332</v>
      </c>
      <c r="L10" s="344">
        <v>1222.1500000000001</v>
      </c>
      <c r="M10" s="344">
        <v>1187.32</v>
      </c>
      <c r="N10" s="344">
        <v>17407.54</v>
      </c>
    </row>
    <row r="11" spans="1:16" x14ac:dyDescent="0.25">
      <c r="A11" s="340" t="s">
        <v>366</v>
      </c>
      <c r="B11" s="340" t="s">
        <v>39</v>
      </c>
      <c r="C11" s="340" t="s">
        <v>41</v>
      </c>
      <c r="D11" s="342">
        <v>8327.24</v>
      </c>
      <c r="E11" s="342">
        <v>21736.37</v>
      </c>
      <c r="F11" s="342">
        <v>139270.95000000001</v>
      </c>
      <c r="H11" s="343" t="s">
        <v>366</v>
      </c>
      <c r="I11" s="343" t="s">
        <v>21</v>
      </c>
      <c r="J11" s="343" t="s">
        <v>52</v>
      </c>
      <c r="K11" s="343" t="s">
        <v>210</v>
      </c>
      <c r="L11" s="344">
        <v>66.02</v>
      </c>
      <c r="M11" s="344">
        <v>899.85</v>
      </c>
      <c r="N11" s="344">
        <v>72505.490000000005</v>
      </c>
    </row>
    <row r="12" spans="1:16" x14ac:dyDescent="0.25">
      <c r="H12" s="343" t="s">
        <v>366</v>
      </c>
      <c r="I12" s="343" t="s">
        <v>21</v>
      </c>
      <c r="J12" s="343" t="s">
        <v>52</v>
      </c>
      <c r="K12" s="343" t="s">
        <v>72</v>
      </c>
      <c r="L12" s="344">
        <v>2061.77</v>
      </c>
      <c r="M12" s="344">
        <v>608.83000000000004</v>
      </c>
      <c r="N12" s="344">
        <v>28394.18</v>
      </c>
      <c r="O12" s="346">
        <f>SUM(L8:N12)</f>
        <v>226584.68</v>
      </c>
      <c r="P12" s="347" t="s">
        <v>52</v>
      </c>
    </row>
    <row r="13" spans="1:16" x14ac:dyDescent="0.25">
      <c r="H13" s="348" t="s">
        <v>366</v>
      </c>
      <c r="I13" s="348" t="s">
        <v>21</v>
      </c>
      <c r="J13" s="348" t="s">
        <v>52</v>
      </c>
      <c r="K13" s="348" t="s">
        <v>240</v>
      </c>
      <c r="L13" s="349">
        <v>459.26</v>
      </c>
      <c r="M13" s="349">
        <v>4162.6099999999997</v>
      </c>
      <c r="N13" s="349">
        <v>105267.23</v>
      </c>
      <c r="O13" s="350">
        <f>SUM(L13:N13)</f>
        <v>109889.09999999999</v>
      </c>
      <c r="P13" s="351" t="s">
        <v>254</v>
      </c>
    </row>
    <row r="14" spans="1:16" x14ac:dyDescent="0.25">
      <c r="H14" s="352" t="s">
        <v>366</v>
      </c>
      <c r="I14" s="352" t="s">
        <v>21</v>
      </c>
      <c r="J14" s="352" t="s">
        <v>55</v>
      </c>
      <c r="K14" s="352" t="s">
        <v>182</v>
      </c>
      <c r="L14" s="353">
        <v>291.86</v>
      </c>
      <c r="M14" s="353">
        <v>0</v>
      </c>
      <c r="N14" s="353">
        <v>555.29</v>
      </c>
    </row>
    <row r="15" spans="1:16" x14ac:dyDescent="0.25">
      <c r="A15" s="354" t="s">
        <v>79</v>
      </c>
      <c r="B15" s="355" t="s">
        <v>80</v>
      </c>
      <c r="D15" s="356" t="s">
        <v>184</v>
      </c>
      <c r="E15" s="357"/>
      <c r="F15" s="358" t="s">
        <v>185</v>
      </c>
      <c r="H15" s="352" t="s">
        <v>366</v>
      </c>
      <c r="I15" s="352" t="s">
        <v>21</v>
      </c>
      <c r="J15" s="352" t="s">
        <v>55</v>
      </c>
      <c r="K15" s="352" t="s">
        <v>54</v>
      </c>
      <c r="L15" s="353">
        <v>0</v>
      </c>
      <c r="M15" s="353">
        <v>1972.75</v>
      </c>
      <c r="N15" s="353">
        <v>12735.53</v>
      </c>
    </row>
    <row r="16" spans="1:16" x14ac:dyDescent="0.25">
      <c r="A16" s="336" t="s">
        <v>38</v>
      </c>
      <c r="B16" s="359">
        <f>SUM(D10:F10)</f>
        <v>958410.12</v>
      </c>
      <c r="D16" s="502" t="s">
        <v>81</v>
      </c>
      <c r="E16" s="502"/>
      <c r="F16" s="360">
        <f>O12/B20</f>
        <v>0.19303496226469349</v>
      </c>
      <c r="H16" s="352" t="s">
        <v>366</v>
      </c>
      <c r="I16" s="352" t="s">
        <v>21</v>
      </c>
      <c r="J16" s="352" t="s">
        <v>55</v>
      </c>
      <c r="K16" s="352" t="s">
        <v>66</v>
      </c>
      <c r="L16" s="353">
        <v>0</v>
      </c>
      <c r="M16" s="353">
        <v>346.1</v>
      </c>
      <c r="N16" s="353">
        <v>1473</v>
      </c>
    </row>
    <row r="17" spans="1:16" x14ac:dyDescent="0.25">
      <c r="A17" s="336" t="s">
        <v>39</v>
      </c>
      <c r="B17" s="359">
        <f>SUM(D11:F11)</f>
        <v>169334.56</v>
      </c>
      <c r="D17" s="481" t="s">
        <v>253</v>
      </c>
      <c r="E17" s="481"/>
      <c r="F17" s="360">
        <f>O13/B20</f>
        <v>9.3618148728330297E-2</v>
      </c>
      <c r="H17" s="352" t="s">
        <v>366</v>
      </c>
      <c r="I17" s="352" t="s">
        <v>21</v>
      </c>
      <c r="J17" s="352" t="s">
        <v>55</v>
      </c>
      <c r="K17" s="352" t="s">
        <v>67</v>
      </c>
      <c r="L17" s="353">
        <v>0</v>
      </c>
      <c r="M17" s="353">
        <v>1471.62</v>
      </c>
      <c r="N17" s="353">
        <v>8108.45</v>
      </c>
    </row>
    <row r="18" spans="1:16" x14ac:dyDescent="0.25">
      <c r="A18" s="336" t="s">
        <v>2</v>
      </c>
      <c r="B18" s="359">
        <f>SUM(D9:F9)</f>
        <v>627.93000000000006</v>
      </c>
      <c r="D18" s="336" t="s">
        <v>78</v>
      </c>
      <c r="F18" s="360">
        <f>O26/B20</f>
        <v>9.9090114276160504E-2</v>
      </c>
      <c r="H18" s="352" t="s">
        <v>366</v>
      </c>
      <c r="I18" s="352" t="s">
        <v>21</v>
      </c>
      <c r="J18" s="352" t="s">
        <v>55</v>
      </c>
      <c r="K18" s="352" t="s">
        <v>68</v>
      </c>
      <c r="L18" s="353">
        <v>253.63</v>
      </c>
      <c r="M18" s="353">
        <v>0</v>
      </c>
      <c r="N18" s="353">
        <v>2747.97</v>
      </c>
    </row>
    <row r="19" spans="1:16" x14ac:dyDescent="0.25">
      <c r="A19" s="336" t="s">
        <v>3</v>
      </c>
      <c r="B19" s="359">
        <f>SUM(D8:F8)</f>
        <v>45428.639999999999</v>
      </c>
      <c r="D19" s="481" t="s">
        <v>42</v>
      </c>
      <c r="E19" s="481"/>
      <c r="F19" s="360">
        <f>O30/B20</f>
        <v>0.48075638869868315</v>
      </c>
      <c r="H19" s="352" t="s">
        <v>366</v>
      </c>
      <c r="I19" s="352" t="s">
        <v>21</v>
      </c>
      <c r="J19" s="352" t="s">
        <v>55</v>
      </c>
      <c r="K19" s="352" t="s">
        <v>72</v>
      </c>
      <c r="L19" s="353">
        <v>1405.6</v>
      </c>
      <c r="M19" s="353">
        <v>6192.12</v>
      </c>
      <c r="N19" s="353">
        <v>65234.05</v>
      </c>
    </row>
    <row r="20" spans="1:16" ht="15.75" thickBot="1" x14ac:dyDescent="0.3">
      <c r="A20" s="361"/>
      <c r="B20" s="404">
        <f>SUM(B16:B19)</f>
        <v>1173801.2499999998</v>
      </c>
      <c r="F20" s="363">
        <f>SUM(F16:F19)</f>
        <v>0.86649961396786745</v>
      </c>
      <c r="H20" s="352" t="s">
        <v>366</v>
      </c>
      <c r="I20" s="352" t="s">
        <v>21</v>
      </c>
      <c r="J20" s="352" t="s">
        <v>183</v>
      </c>
      <c r="K20" s="352" t="s">
        <v>360</v>
      </c>
      <c r="L20" s="353">
        <v>0</v>
      </c>
      <c r="M20" s="353">
        <v>52.07</v>
      </c>
      <c r="N20" s="353">
        <v>416.11</v>
      </c>
    </row>
    <row r="21" spans="1:16" x14ac:dyDescent="0.25">
      <c r="E21" s="393" t="s">
        <v>356</v>
      </c>
      <c r="F21" s="394">
        <v>226</v>
      </c>
      <c r="H21" s="352" t="s">
        <v>366</v>
      </c>
      <c r="I21" s="352" t="s">
        <v>21</v>
      </c>
      <c r="J21" s="352" t="s">
        <v>183</v>
      </c>
      <c r="K21" s="352" t="s">
        <v>361</v>
      </c>
      <c r="L21" s="353">
        <v>0</v>
      </c>
      <c r="M21" s="353">
        <v>0</v>
      </c>
      <c r="N21" s="353">
        <v>198.74</v>
      </c>
    </row>
    <row r="22" spans="1:16" x14ac:dyDescent="0.25">
      <c r="H22" s="352" t="s">
        <v>366</v>
      </c>
      <c r="I22" s="352" t="s">
        <v>21</v>
      </c>
      <c r="J22" s="352" t="s">
        <v>183</v>
      </c>
      <c r="K22" s="352" t="s">
        <v>362</v>
      </c>
      <c r="L22" s="353">
        <v>0</v>
      </c>
      <c r="M22" s="353">
        <v>0</v>
      </c>
      <c r="N22" s="353">
        <v>1207.58</v>
      </c>
    </row>
    <row r="23" spans="1:16" x14ac:dyDescent="0.25">
      <c r="H23" s="352" t="s">
        <v>366</v>
      </c>
      <c r="I23" s="352" t="s">
        <v>21</v>
      </c>
      <c r="J23" s="352" t="s">
        <v>183</v>
      </c>
      <c r="K23" s="352" t="s">
        <v>363</v>
      </c>
      <c r="L23" s="353">
        <v>0</v>
      </c>
      <c r="M23" s="353">
        <v>131.49</v>
      </c>
      <c r="N23" s="353">
        <v>1241.19</v>
      </c>
    </row>
    <row r="24" spans="1:16" x14ac:dyDescent="0.25">
      <c r="H24" s="352" t="s">
        <v>366</v>
      </c>
      <c r="I24" s="352" t="s">
        <v>21</v>
      </c>
      <c r="J24" s="352" t="s">
        <v>183</v>
      </c>
      <c r="K24" s="352" t="s">
        <v>364</v>
      </c>
      <c r="L24" s="353">
        <v>0</v>
      </c>
      <c r="M24" s="353">
        <v>0</v>
      </c>
      <c r="N24" s="353">
        <v>627.86</v>
      </c>
    </row>
    <row r="25" spans="1:16" x14ac:dyDescent="0.25">
      <c r="H25" s="352" t="s">
        <v>366</v>
      </c>
      <c r="I25" s="352" t="s">
        <v>21</v>
      </c>
      <c r="J25" s="352" t="s">
        <v>183</v>
      </c>
      <c r="K25" s="352" t="s">
        <v>365</v>
      </c>
      <c r="L25" s="353">
        <v>51.8</v>
      </c>
      <c r="M25" s="353">
        <v>56.31</v>
      </c>
      <c r="N25" s="353">
        <v>290.67</v>
      </c>
    </row>
    <row r="26" spans="1:16" x14ac:dyDescent="0.25">
      <c r="H26" s="352" t="s">
        <v>366</v>
      </c>
      <c r="I26" s="352" t="s">
        <v>21</v>
      </c>
      <c r="J26" s="352" t="s">
        <v>183</v>
      </c>
      <c r="K26" s="352" t="s">
        <v>72</v>
      </c>
      <c r="L26" s="353">
        <v>154.91</v>
      </c>
      <c r="M26" s="353">
        <v>1854.15</v>
      </c>
      <c r="N26" s="353">
        <v>7241.25</v>
      </c>
      <c r="O26" s="364">
        <f>SUM(L14:N26)</f>
        <v>116312.10000000002</v>
      </c>
      <c r="P26" s="365" t="s">
        <v>110</v>
      </c>
    </row>
    <row r="27" spans="1:16" x14ac:dyDescent="0.25">
      <c r="H27" s="366" t="s">
        <v>366</v>
      </c>
      <c r="I27" s="366" t="s">
        <v>43</v>
      </c>
      <c r="J27" s="366" t="s">
        <v>21</v>
      </c>
      <c r="K27" s="366" t="s">
        <v>21</v>
      </c>
      <c r="L27" s="367">
        <v>8824.2999999999993</v>
      </c>
      <c r="M27" s="367">
        <v>33141.760000000002</v>
      </c>
      <c r="N27" s="367">
        <v>161361.25</v>
      </c>
    </row>
    <row r="28" spans="1:16" x14ac:dyDescent="0.25">
      <c r="H28" s="366" t="s">
        <v>366</v>
      </c>
      <c r="I28" s="366" t="s">
        <v>45</v>
      </c>
      <c r="J28" s="366" t="s">
        <v>21</v>
      </c>
      <c r="K28" s="366" t="s">
        <v>21</v>
      </c>
      <c r="L28" s="367">
        <v>10238.219999999999</v>
      </c>
      <c r="M28" s="367">
        <v>26452.77</v>
      </c>
      <c r="N28" s="367">
        <v>167076.97</v>
      </c>
    </row>
    <row r="29" spans="1:16" x14ac:dyDescent="0.25">
      <c r="D29" s="345"/>
      <c r="E29" s="345"/>
      <c r="F29" s="345"/>
      <c r="H29" s="366" t="s">
        <v>366</v>
      </c>
      <c r="I29" s="366" t="s">
        <v>46</v>
      </c>
      <c r="J29" s="366" t="s">
        <v>21</v>
      </c>
      <c r="K29" s="366" t="s">
        <v>21</v>
      </c>
      <c r="L29" s="367">
        <v>7191.89</v>
      </c>
      <c r="M29" s="367">
        <v>6377.62</v>
      </c>
      <c r="N29" s="367">
        <v>61084.05</v>
      </c>
    </row>
    <row r="30" spans="1:16" x14ac:dyDescent="0.25">
      <c r="D30" s="345"/>
      <c r="E30" s="345"/>
      <c r="F30" s="345"/>
      <c r="H30" s="366" t="s">
        <v>366</v>
      </c>
      <c r="I30" s="366" t="s">
        <v>50</v>
      </c>
      <c r="J30" s="366" t="s">
        <v>21</v>
      </c>
      <c r="K30" s="366" t="s">
        <v>21</v>
      </c>
      <c r="L30" s="367">
        <v>20448.21</v>
      </c>
      <c r="M30" s="367">
        <v>4092.84</v>
      </c>
      <c r="N30" s="367">
        <v>58022.57</v>
      </c>
      <c r="O30" s="368">
        <f>SUM(L27:N30)</f>
        <v>564312.45000000007</v>
      </c>
      <c r="P30" s="369" t="s">
        <v>369</v>
      </c>
    </row>
    <row r="31" spans="1:16" x14ac:dyDescent="0.25">
      <c r="H31" s="340" t="s">
        <v>366</v>
      </c>
      <c r="I31" s="340" t="s">
        <v>21</v>
      </c>
      <c r="J31" s="340" t="s">
        <v>21</v>
      </c>
      <c r="K31" s="340" t="s">
        <v>21</v>
      </c>
      <c r="L31" s="341">
        <v>50572.639999999999</v>
      </c>
      <c r="M31" s="341">
        <v>6159</v>
      </c>
      <c r="N31" s="341">
        <v>59287.37</v>
      </c>
    </row>
    <row r="32" spans="1:16" x14ac:dyDescent="0.25">
      <c r="H32" s="340" t="s">
        <v>366</v>
      </c>
      <c r="I32" s="340" t="s">
        <v>43</v>
      </c>
      <c r="J32" s="340" t="s">
        <v>52</v>
      </c>
      <c r="K32" s="340" t="s">
        <v>178</v>
      </c>
      <c r="L32" s="341">
        <v>76.66</v>
      </c>
      <c r="M32" s="341">
        <v>0</v>
      </c>
      <c r="N32" s="341">
        <v>1754.97</v>
      </c>
    </row>
    <row r="33" spans="8:14" x14ac:dyDescent="0.25">
      <c r="H33" s="340" t="s">
        <v>366</v>
      </c>
      <c r="I33" s="340" t="s">
        <v>43</v>
      </c>
      <c r="J33" s="340" t="s">
        <v>52</v>
      </c>
      <c r="K33" s="340" t="s">
        <v>210</v>
      </c>
      <c r="L33" s="341">
        <v>0</v>
      </c>
      <c r="M33" s="341">
        <v>261.81</v>
      </c>
      <c r="N33" s="341">
        <v>1860</v>
      </c>
    </row>
    <row r="34" spans="8:14" x14ac:dyDescent="0.25">
      <c r="H34" s="340" t="s">
        <v>366</v>
      </c>
      <c r="I34" s="340" t="s">
        <v>43</v>
      </c>
      <c r="J34" s="340" t="s">
        <v>55</v>
      </c>
      <c r="K34" s="340" t="s">
        <v>54</v>
      </c>
      <c r="L34" s="341">
        <v>0</v>
      </c>
      <c r="M34" s="341">
        <v>0</v>
      </c>
      <c r="N34" s="341">
        <v>112.2</v>
      </c>
    </row>
    <row r="35" spans="8:14" x14ac:dyDescent="0.25">
      <c r="H35" s="340" t="s">
        <v>366</v>
      </c>
      <c r="I35" s="340" t="s">
        <v>43</v>
      </c>
      <c r="J35" s="340" t="s">
        <v>55</v>
      </c>
      <c r="K35" s="340" t="s">
        <v>66</v>
      </c>
      <c r="L35" s="341">
        <v>0</v>
      </c>
      <c r="M35" s="341">
        <v>0</v>
      </c>
      <c r="N35" s="341">
        <v>67.64</v>
      </c>
    </row>
    <row r="36" spans="8:14" x14ac:dyDescent="0.25">
      <c r="H36" s="340" t="s">
        <v>366</v>
      </c>
      <c r="I36" s="340" t="s">
        <v>43</v>
      </c>
      <c r="J36" s="340" t="s">
        <v>55</v>
      </c>
      <c r="K36" s="340" t="s">
        <v>68</v>
      </c>
      <c r="L36" s="341">
        <v>0</v>
      </c>
      <c r="M36" s="341">
        <v>0</v>
      </c>
      <c r="N36" s="341">
        <v>473.86</v>
      </c>
    </row>
    <row r="37" spans="8:14" x14ac:dyDescent="0.25">
      <c r="H37" s="340" t="s">
        <v>366</v>
      </c>
      <c r="I37" s="340" t="s">
        <v>43</v>
      </c>
      <c r="J37" s="340" t="s">
        <v>55</v>
      </c>
      <c r="K37" s="340" t="s">
        <v>72</v>
      </c>
      <c r="L37" s="341">
        <v>0</v>
      </c>
      <c r="M37" s="341">
        <v>0</v>
      </c>
      <c r="N37" s="341">
        <v>120.46</v>
      </c>
    </row>
    <row r="38" spans="8:14" x14ac:dyDescent="0.25">
      <c r="H38" s="340" t="s">
        <v>366</v>
      </c>
      <c r="I38" s="340" t="s">
        <v>43</v>
      </c>
      <c r="J38" s="340" t="s">
        <v>183</v>
      </c>
      <c r="K38" s="340" t="s">
        <v>363</v>
      </c>
      <c r="L38" s="341">
        <v>0</v>
      </c>
      <c r="M38" s="341">
        <v>0</v>
      </c>
      <c r="N38" s="341">
        <v>1148.58</v>
      </c>
    </row>
    <row r="39" spans="8:14" x14ac:dyDescent="0.25">
      <c r="H39" s="340" t="s">
        <v>366</v>
      </c>
      <c r="I39" s="340" t="s">
        <v>43</v>
      </c>
      <c r="J39" s="340" t="s">
        <v>183</v>
      </c>
      <c r="K39" s="340" t="s">
        <v>365</v>
      </c>
      <c r="L39" s="341">
        <v>0</v>
      </c>
      <c r="M39" s="341">
        <v>214.69</v>
      </c>
      <c r="N39" s="341">
        <v>0</v>
      </c>
    </row>
    <row r="40" spans="8:14" x14ac:dyDescent="0.25">
      <c r="H40" s="340" t="s">
        <v>366</v>
      </c>
      <c r="I40" s="340" t="s">
        <v>45</v>
      </c>
      <c r="J40" s="340" t="s">
        <v>183</v>
      </c>
      <c r="K40" s="340" t="s">
        <v>360</v>
      </c>
      <c r="L40" s="341">
        <v>0</v>
      </c>
      <c r="M40" s="341">
        <v>353.99</v>
      </c>
      <c r="N40" s="341">
        <v>388.84</v>
      </c>
    </row>
    <row r="41" spans="8:14" x14ac:dyDescent="0.25">
      <c r="H41" s="340" t="s">
        <v>366</v>
      </c>
      <c r="I41" s="340" t="s">
        <v>45</v>
      </c>
      <c r="J41" s="340" t="s">
        <v>183</v>
      </c>
      <c r="K41" s="340" t="s">
        <v>361</v>
      </c>
      <c r="L41" s="341">
        <v>0</v>
      </c>
      <c r="M41" s="341">
        <v>10.45</v>
      </c>
      <c r="N41" s="341">
        <v>934.77</v>
      </c>
    </row>
    <row r="42" spans="8:14" x14ac:dyDescent="0.25">
      <c r="H42" s="340" t="s">
        <v>366</v>
      </c>
      <c r="I42" s="340" t="s">
        <v>45</v>
      </c>
      <c r="J42" s="340" t="s">
        <v>183</v>
      </c>
      <c r="K42" s="340" t="s">
        <v>362</v>
      </c>
      <c r="L42" s="341">
        <v>0</v>
      </c>
      <c r="M42" s="341">
        <v>370.26</v>
      </c>
      <c r="N42" s="341">
        <v>852.69</v>
      </c>
    </row>
    <row r="43" spans="8:14" x14ac:dyDescent="0.25">
      <c r="H43" s="340" t="s">
        <v>366</v>
      </c>
      <c r="I43" s="340" t="s">
        <v>45</v>
      </c>
      <c r="J43" s="340" t="s">
        <v>183</v>
      </c>
      <c r="K43" s="340" t="s">
        <v>363</v>
      </c>
      <c r="L43" s="341">
        <v>0</v>
      </c>
      <c r="M43" s="341">
        <v>0</v>
      </c>
      <c r="N43" s="341">
        <v>2329.56</v>
      </c>
    </row>
    <row r="44" spans="8:14" x14ac:dyDescent="0.25">
      <c r="H44" s="340" t="s">
        <v>366</v>
      </c>
      <c r="I44" s="340" t="s">
        <v>45</v>
      </c>
      <c r="J44" s="340" t="s">
        <v>183</v>
      </c>
      <c r="K44" s="340" t="s">
        <v>364</v>
      </c>
      <c r="L44" s="341">
        <v>0</v>
      </c>
      <c r="M44" s="341">
        <v>410.98</v>
      </c>
      <c r="N44" s="341">
        <v>4101.7700000000004</v>
      </c>
    </row>
    <row r="45" spans="8:14" x14ac:dyDescent="0.25">
      <c r="H45" s="340" t="s">
        <v>366</v>
      </c>
      <c r="I45" s="340" t="s">
        <v>45</v>
      </c>
      <c r="J45" s="340" t="s">
        <v>183</v>
      </c>
      <c r="K45" s="340" t="s">
        <v>72</v>
      </c>
      <c r="L45" s="341">
        <v>158.15</v>
      </c>
      <c r="M45" s="341">
        <v>1020.1</v>
      </c>
      <c r="N45" s="341">
        <v>5416.83</v>
      </c>
    </row>
    <row r="46" spans="8:14" x14ac:dyDescent="0.25">
      <c r="H46" s="340" t="s">
        <v>366</v>
      </c>
      <c r="I46" s="340" t="s">
        <v>46</v>
      </c>
      <c r="J46" s="340" t="s">
        <v>183</v>
      </c>
      <c r="K46" s="340" t="s">
        <v>360</v>
      </c>
      <c r="L46" s="341">
        <v>0</v>
      </c>
      <c r="M46" s="341">
        <v>685.64</v>
      </c>
      <c r="N46" s="341">
        <v>157.13</v>
      </c>
    </row>
    <row r="47" spans="8:14" x14ac:dyDescent="0.25">
      <c r="H47" s="340" t="s">
        <v>366</v>
      </c>
      <c r="I47" s="340" t="s">
        <v>46</v>
      </c>
      <c r="J47" s="340" t="s">
        <v>183</v>
      </c>
      <c r="K47" s="340" t="s">
        <v>361</v>
      </c>
      <c r="L47" s="341">
        <v>0</v>
      </c>
      <c r="M47" s="341">
        <v>243.04</v>
      </c>
      <c r="N47" s="341">
        <v>618.21</v>
      </c>
    </row>
    <row r="48" spans="8:14" x14ac:dyDescent="0.25">
      <c r="H48" s="340" t="s">
        <v>366</v>
      </c>
      <c r="I48" s="340" t="s">
        <v>46</v>
      </c>
      <c r="J48" s="340" t="s">
        <v>183</v>
      </c>
      <c r="K48" s="340" t="s">
        <v>363</v>
      </c>
      <c r="L48" s="341">
        <v>319.14999999999998</v>
      </c>
      <c r="M48" s="341">
        <v>0</v>
      </c>
      <c r="N48" s="341">
        <v>1114.01</v>
      </c>
    </row>
    <row r="49" spans="8:14" x14ac:dyDescent="0.25">
      <c r="H49" s="340" t="s">
        <v>366</v>
      </c>
      <c r="I49" s="340" t="s">
        <v>46</v>
      </c>
      <c r="J49" s="340" t="s">
        <v>183</v>
      </c>
      <c r="K49" s="340" t="s">
        <v>72</v>
      </c>
      <c r="L49" s="341">
        <v>0</v>
      </c>
      <c r="M49" s="341">
        <v>303.83</v>
      </c>
      <c r="N49" s="341">
        <v>1736.32</v>
      </c>
    </row>
    <row r="50" spans="8:14" x14ac:dyDescent="0.25">
      <c r="H50" s="340" t="s">
        <v>366</v>
      </c>
      <c r="I50" s="340" t="s">
        <v>50</v>
      </c>
      <c r="J50" s="340" t="s">
        <v>52</v>
      </c>
      <c r="K50" s="340" t="s">
        <v>178</v>
      </c>
      <c r="L50" s="341">
        <v>208.8</v>
      </c>
      <c r="M50" s="341">
        <v>451.12</v>
      </c>
      <c r="N50" s="341">
        <v>11207.04</v>
      </c>
    </row>
    <row r="51" spans="8:14" x14ac:dyDescent="0.25">
      <c r="H51" s="340" t="s">
        <v>366</v>
      </c>
      <c r="I51" s="340" t="s">
        <v>50</v>
      </c>
      <c r="J51" s="340" t="s">
        <v>52</v>
      </c>
      <c r="K51" s="340" t="s">
        <v>72</v>
      </c>
      <c r="L51" s="341">
        <v>0</v>
      </c>
      <c r="M51" s="341">
        <v>0</v>
      </c>
      <c r="N51" s="341">
        <v>259.14999999999998</v>
      </c>
    </row>
    <row r="52" spans="8:14" x14ac:dyDescent="0.25">
      <c r="H52" s="340" t="s">
        <v>366</v>
      </c>
      <c r="I52" s="340" t="s">
        <v>50</v>
      </c>
      <c r="J52" s="340" t="s">
        <v>55</v>
      </c>
      <c r="K52" s="340" t="s">
        <v>54</v>
      </c>
      <c r="L52" s="341">
        <v>0</v>
      </c>
      <c r="M52" s="341">
        <v>175.64</v>
      </c>
      <c r="N52" s="341">
        <v>2.11</v>
      </c>
    </row>
    <row r="53" spans="8:14" x14ac:dyDescent="0.25">
      <c r="H53" s="340" t="s">
        <v>366</v>
      </c>
      <c r="I53" s="340" t="s">
        <v>50</v>
      </c>
      <c r="J53" s="340" t="s">
        <v>55</v>
      </c>
      <c r="K53" s="340" t="s">
        <v>72</v>
      </c>
      <c r="L53" s="341">
        <v>0</v>
      </c>
      <c r="M53" s="341">
        <v>0</v>
      </c>
      <c r="N53" s="341">
        <v>160.9</v>
      </c>
    </row>
    <row r="54" spans="8:14" x14ac:dyDescent="0.25">
      <c r="H54" s="340" t="s">
        <v>366</v>
      </c>
      <c r="I54" s="340" t="s">
        <v>50</v>
      </c>
      <c r="J54" s="340" t="s">
        <v>183</v>
      </c>
      <c r="K54" s="340" t="s">
        <v>363</v>
      </c>
      <c r="L54" s="341">
        <v>0</v>
      </c>
      <c r="M54" s="341">
        <v>362.17</v>
      </c>
      <c r="N54" s="341">
        <v>240.39</v>
      </c>
    </row>
  </sheetData>
  <mergeCells count="13">
    <mergeCell ref="D19:E19"/>
    <mergeCell ref="A4:F4"/>
    <mergeCell ref="H4:N4"/>
    <mergeCell ref="A5:F5"/>
    <mergeCell ref="H5:N5"/>
    <mergeCell ref="D16:E16"/>
    <mergeCell ref="D17:E17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P54"/>
  <sheetViews>
    <sheetView zoomScale="80" zoomScaleNormal="80" workbookViewId="0">
      <selection activeCell="B17" sqref="B17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366</v>
      </c>
      <c r="B8" s="340" t="s">
        <v>38</v>
      </c>
      <c r="C8" s="340" t="s">
        <v>3</v>
      </c>
      <c r="D8" s="342">
        <v>0</v>
      </c>
      <c r="E8" s="342">
        <v>0</v>
      </c>
      <c r="F8" s="342">
        <v>43886.11</v>
      </c>
      <c r="G8" s="336">
        <v>1</v>
      </c>
      <c r="H8" s="343" t="s">
        <v>366</v>
      </c>
      <c r="I8" s="343" t="s">
        <v>21</v>
      </c>
      <c r="J8" s="343" t="s">
        <v>52</v>
      </c>
      <c r="K8" s="343" t="s">
        <v>209</v>
      </c>
      <c r="L8" s="344">
        <v>7220.35</v>
      </c>
      <c r="M8" s="344">
        <v>769.23</v>
      </c>
      <c r="N8" s="344">
        <v>44357.48</v>
      </c>
    </row>
    <row r="9" spans="1:16" x14ac:dyDescent="0.25">
      <c r="A9" s="340" t="s">
        <v>366</v>
      </c>
      <c r="B9" s="340" t="s">
        <v>38</v>
      </c>
      <c r="C9" s="340" t="s">
        <v>323</v>
      </c>
      <c r="D9" s="342">
        <v>23.13</v>
      </c>
      <c r="E9" s="342">
        <v>3.99</v>
      </c>
      <c r="F9" s="342">
        <v>16.829999999999998</v>
      </c>
      <c r="G9" s="336">
        <v>1</v>
      </c>
      <c r="H9" s="343" t="s">
        <v>366</v>
      </c>
      <c r="I9" s="343" t="s">
        <v>21</v>
      </c>
      <c r="J9" s="343" t="s">
        <v>52</v>
      </c>
      <c r="K9" s="343" t="s">
        <v>178</v>
      </c>
      <c r="L9" s="344">
        <v>8899.83</v>
      </c>
      <c r="M9" s="344">
        <v>16527.599999999999</v>
      </c>
      <c r="N9" s="344">
        <v>39608.42</v>
      </c>
    </row>
    <row r="10" spans="1:16" x14ac:dyDescent="0.25">
      <c r="A10" s="340" t="s">
        <v>366</v>
      </c>
      <c r="B10" s="340" t="s">
        <v>38</v>
      </c>
      <c r="C10" s="340" t="s">
        <v>41</v>
      </c>
      <c r="D10" s="342">
        <v>132572.26</v>
      </c>
      <c r="E10" s="342">
        <v>210362.65</v>
      </c>
      <c r="F10" s="342">
        <v>668562.57999999996</v>
      </c>
      <c r="G10" s="336">
        <v>1</v>
      </c>
      <c r="H10" s="343" t="s">
        <v>366</v>
      </c>
      <c r="I10" s="343" t="s">
        <v>21</v>
      </c>
      <c r="J10" s="343" t="s">
        <v>52</v>
      </c>
      <c r="K10" s="343" t="s">
        <v>332</v>
      </c>
      <c r="L10" s="344">
        <v>2291.5500000000002</v>
      </c>
      <c r="M10" s="344">
        <v>2638.05</v>
      </c>
      <c r="N10" s="344">
        <v>16214.63</v>
      </c>
    </row>
    <row r="11" spans="1:16" x14ac:dyDescent="0.25">
      <c r="A11" s="340" t="s">
        <v>366</v>
      </c>
      <c r="B11" s="340" t="s">
        <v>39</v>
      </c>
      <c r="C11" s="340" t="s">
        <v>41</v>
      </c>
      <c r="D11" s="342">
        <v>27653.71</v>
      </c>
      <c r="E11" s="342">
        <v>31154.44</v>
      </c>
      <c r="F11" s="342">
        <v>139160.70000000001</v>
      </c>
      <c r="G11" s="336">
        <v>1</v>
      </c>
      <c r="H11" s="343" t="s">
        <v>366</v>
      </c>
      <c r="I11" s="343" t="s">
        <v>21</v>
      </c>
      <c r="J11" s="343" t="s">
        <v>52</v>
      </c>
      <c r="K11" s="343" t="s">
        <v>210</v>
      </c>
      <c r="L11" s="344">
        <v>2745.21</v>
      </c>
      <c r="M11" s="344">
        <v>1250.26</v>
      </c>
      <c r="N11" s="344">
        <v>69428.710000000006</v>
      </c>
    </row>
    <row r="12" spans="1:16" x14ac:dyDescent="0.25">
      <c r="G12" s="336">
        <v>1</v>
      </c>
      <c r="H12" s="343" t="s">
        <v>366</v>
      </c>
      <c r="I12" s="343" t="s">
        <v>21</v>
      </c>
      <c r="J12" s="343" t="s">
        <v>52</v>
      </c>
      <c r="K12" s="343" t="s">
        <v>72</v>
      </c>
      <c r="L12" s="344">
        <v>3583.91</v>
      </c>
      <c r="M12" s="344">
        <v>6465.17</v>
      </c>
      <c r="N12" s="344">
        <v>40431.550000000003</v>
      </c>
      <c r="O12" s="346">
        <f>SUM(L8:N12)</f>
        <v>262431.95</v>
      </c>
      <c r="P12" s="347" t="s">
        <v>52</v>
      </c>
    </row>
    <row r="13" spans="1:16" x14ac:dyDescent="0.25">
      <c r="G13" s="336">
        <v>2</v>
      </c>
      <c r="H13" s="348" t="s">
        <v>366</v>
      </c>
      <c r="I13" s="348" t="s">
        <v>21</v>
      </c>
      <c r="J13" s="348" t="s">
        <v>52</v>
      </c>
      <c r="K13" s="348" t="s">
        <v>240</v>
      </c>
      <c r="L13" s="349">
        <v>4122.16</v>
      </c>
      <c r="M13" s="349">
        <v>1354.49</v>
      </c>
      <c r="N13" s="349">
        <v>101045.23</v>
      </c>
      <c r="O13" s="350">
        <f>SUM(L13:N13)</f>
        <v>106521.87999999999</v>
      </c>
      <c r="P13" s="351" t="s">
        <v>254</v>
      </c>
    </row>
    <row r="14" spans="1:16" x14ac:dyDescent="0.25">
      <c r="G14" s="336">
        <v>3</v>
      </c>
      <c r="H14" s="352" t="s">
        <v>366</v>
      </c>
      <c r="I14" s="352" t="s">
        <v>21</v>
      </c>
      <c r="J14" s="352" t="s">
        <v>55</v>
      </c>
      <c r="K14" s="352" t="s">
        <v>182</v>
      </c>
      <c r="L14" s="353">
        <v>295.36</v>
      </c>
      <c r="M14" s="353">
        <v>6145.03</v>
      </c>
      <c r="N14" s="353">
        <v>10100.75</v>
      </c>
    </row>
    <row r="15" spans="1:16" x14ac:dyDescent="0.25">
      <c r="A15" s="354" t="s">
        <v>79</v>
      </c>
      <c r="B15" s="355" t="s">
        <v>80</v>
      </c>
      <c r="D15" s="356" t="s">
        <v>184</v>
      </c>
      <c r="E15" s="357"/>
      <c r="F15" s="358" t="s">
        <v>185</v>
      </c>
      <c r="G15" s="336">
        <v>3</v>
      </c>
      <c r="H15" s="352" t="s">
        <v>366</v>
      </c>
      <c r="I15" s="352" t="s">
        <v>21</v>
      </c>
      <c r="J15" s="352" t="s">
        <v>55</v>
      </c>
      <c r="K15" s="352" t="s">
        <v>54</v>
      </c>
      <c r="L15" s="353">
        <v>667.29</v>
      </c>
      <c r="M15" s="353">
        <v>397.33</v>
      </c>
      <c r="N15" s="353">
        <v>9046.09</v>
      </c>
    </row>
    <row r="16" spans="1:16" x14ac:dyDescent="0.25">
      <c r="A16" s="336" t="s">
        <v>38</v>
      </c>
      <c r="B16" s="359">
        <f>SUM(D10:F10)</f>
        <v>1011497.49</v>
      </c>
      <c r="D16" s="502" t="s">
        <v>81</v>
      </c>
      <c r="E16" s="502"/>
      <c r="F16" s="360">
        <f>O12/B20</f>
        <v>0.20937665849367365</v>
      </c>
      <c r="G16" s="336">
        <v>3</v>
      </c>
      <c r="H16" s="352" t="s">
        <v>366</v>
      </c>
      <c r="I16" s="352" t="s">
        <v>21</v>
      </c>
      <c r="J16" s="352" t="s">
        <v>55</v>
      </c>
      <c r="K16" s="352" t="s">
        <v>66</v>
      </c>
      <c r="L16" s="353">
        <v>503.73</v>
      </c>
      <c r="M16" s="353">
        <v>7.85</v>
      </c>
      <c r="N16" s="353">
        <v>396.7</v>
      </c>
    </row>
    <row r="17" spans="1:16" x14ac:dyDescent="0.25">
      <c r="A17" s="336" t="s">
        <v>39</v>
      </c>
      <c r="B17" s="359">
        <f>SUM(D11:F11)</f>
        <v>197968.85</v>
      </c>
      <c r="D17" s="481" t="s">
        <v>253</v>
      </c>
      <c r="E17" s="481"/>
      <c r="F17" s="360">
        <f>O13/B20</f>
        <v>8.4986585249486893E-2</v>
      </c>
      <c r="G17" s="336">
        <v>3</v>
      </c>
      <c r="H17" s="352" t="s">
        <v>366</v>
      </c>
      <c r="I17" s="352" t="s">
        <v>21</v>
      </c>
      <c r="J17" s="352" t="s">
        <v>55</v>
      </c>
      <c r="K17" s="352" t="s">
        <v>67</v>
      </c>
      <c r="L17" s="353">
        <v>547.09</v>
      </c>
      <c r="M17" s="353">
        <v>0</v>
      </c>
      <c r="N17" s="353">
        <v>4753.51</v>
      </c>
    </row>
    <row r="18" spans="1:16" x14ac:dyDescent="0.25">
      <c r="A18" s="336" t="s">
        <v>2</v>
      </c>
      <c r="B18" s="359">
        <f>SUM(D9:F9)</f>
        <v>43.949999999999996</v>
      </c>
      <c r="D18" s="336" t="s">
        <v>78</v>
      </c>
      <c r="F18" s="360">
        <f>O26/B20</f>
        <v>0.11195752596704439</v>
      </c>
      <c r="G18" s="336">
        <v>3</v>
      </c>
      <c r="H18" s="352" t="s">
        <v>366</v>
      </c>
      <c r="I18" s="352" t="s">
        <v>21</v>
      </c>
      <c r="J18" s="352" t="s">
        <v>55</v>
      </c>
      <c r="K18" s="352" t="s">
        <v>68</v>
      </c>
      <c r="L18" s="353">
        <v>0</v>
      </c>
      <c r="M18" s="353">
        <v>19.38</v>
      </c>
      <c r="N18" s="353">
        <v>386.36</v>
      </c>
    </row>
    <row r="19" spans="1:16" x14ac:dyDescent="0.25">
      <c r="A19" s="336" t="s">
        <v>3</v>
      </c>
      <c r="B19" s="359">
        <f>SUM(D8:F8)</f>
        <v>43886.11</v>
      </c>
      <c r="D19" s="481" t="s">
        <v>42</v>
      </c>
      <c r="E19" s="481"/>
      <c r="F19" s="360">
        <f>O30/B20</f>
        <v>0.47479700755483262</v>
      </c>
      <c r="G19" s="336">
        <v>3</v>
      </c>
      <c r="H19" s="352" t="s">
        <v>366</v>
      </c>
      <c r="I19" s="352" t="s">
        <v>21</v>
      </c>
      <c r="J19" s="352" t="s">
        <v>55</v>
      </c>
      <c r="K19" s="352" t="s">
        <v>72</v>
      </c>
      <c r="L19" s="353">
        <v>6700.43</v>
      </c>
      <c r="M19" s="353">
        <v>22855.86</v>
      </c>
      <c r="N19" s="353">
        <v>58155.92</v>
      </c>
    </row>
    <row r="20" spans="1:16" ht="15.75" thickBot="1" x14ac:dyDescent="0.3">
      <c r="A20" s="361"/>
      <c r="B20" s="404">
        <f>SUM(B16:B19)</f>
        <v>1253396.4000000001</v>
      </c>
      <c r="F20" s="363">
        <f>SUM(F16:F19)</f>
        <v>0.88111777726503759</v>
      </c>
      <c r="G20" s="336">
        <v>3</v>
      </c>
      <c r="H20" s="352" t="s">
        <v>366</v>
      </c>
      <c r="I20" s="352" t="s">
        <v>21</v>
      </c>
      <c r="J20" s="352" t="s">
        <v>183</v>
      </c>
      <c r="K20" s="352" t="s">
        <v>360</v>
      </c>
      <c r="L20" s="353">
        <v>20.88</v>
      </c>
      <c r="M20" s="353">
        <v>242.48</v>
      </c>
      <c r="N20" s="353">
        <v>691.45</v>
      </c>
    </row>
    <row r="21" spans="1:16" x14ac:dyDescent="0.25">
      <c r="E21" s="393" t="s">
        <v>356</v>
      </c>
      <c r="F21" s="394">
        <v>216</v>
      </c>
      <c r="G21" s="336">
        <v>3</v>
      </c>
      <c r="H21" s="352" t="s">
        <v>366</v>
      </c>
      <c r="I21" s="352" t="s">
        <v>21</v>
      </c>
      <c r="J21" s="352" t="s">
        <v>183</v>
      </c>
      <c r="K21" s="352" t="s">
        <v>361</v>
      </c>
      <c r="L21" s="353">
        <v>0</v>
      </c>
      <c r="M21" s="353">
        <v>0</v>
      </c>
      <c r="N21" s="353">
        <v>1139.1500000000001</v>
      </c>
    </row>
    <row r="22" spans="1:16" x14ac:dyDescent="0.25">
      <c r="G22" s="336">
        <v>3</v>
      </c>
      <c r="H22" s="352" t="s">
        <v>366</v>
      </c>
      <c r="I22" s="352" t="s">
        <v>21</v>
      </c>
      <c r="J22" s="352" t="s">
        <v>183</v>
      </c>
      <c r="K22" s="352" t="s">
        <v>362</v>
      </c>
      <c r="L22" s="353">
        <v>329.06</v>
      </c>
      <c r="M22" s="353">
        <v>0</v>
      </c>
      <c r="N22" s="353">
        <v>1355.59</v>
      </c>
    </row>
    <row r="23" spans="1:16" x14ac:dyDescent="0.25">
      <c r="G23" s="336">
        <v>3</v>
      </c>
      <c r="H23" s="352" t="s">
        <v>366</v>
      </c>
      <c r="I23" s="352" t="s">
        <v>21</v>
      </c>
      <c r="J23" s="352" t="s">
        <v>183</v>
      </c>
      <c r="K23" s="352" t="s">
        <v>363</v>
      </c>
      <c r="L23" s="353">
        <v>1377.9</v>
      </c>
      <c r="M23" s="353">
        <v>617.15</v>
      </c>
      <c r="N23" s="353">
        <v>6505.74</v>
      </c>
    </row>
    <row r="24" spans="1:16" x14ac:dyDescent="0.25">
      <c r="G24" s="336">
        <v>3</v>
      </c>
      <c r="H24" s="352" t="s">
        <v>366</v>
      </c>
      <c r="I24" s="352" t="s">
        <v>21</v>
      </c>
      <c r="J24" s="352" t="s">
        <v>183</v>
      </c>
      <c r="K24" s="352" t="s">
        <v>364</v>
      </c>
      <c r="L24" s="353">
        <v>46.74</v>
      </c>
      <c r="M24" s="353">
        <v>537.09</v>
      </c>
      <c r="N24" s="353">
        <v>3426.17</v>
      </c>
    </row>
    <row r="25" spans="1:16" x14ac:dyDescent="0.25">
      <c r="G25" s="336">
        <v>3</v>
      </c>
      <c r="H25" s="352" t="s">
        <v>366</v>
      </c>
      <c r="I25" s="352" t="s">
        <v>21</v>
      </c>
      <c r="J25" s="352" t="s">
        <v>183</v>
      </c>
      <c r="K25" s="352" t="s">
        <v>365</v>
      </c>
      <c r="L25" s="353">
        <v>0</v>
      </c>
      <c r="M25" s="353">
        <v>209.8</v>
      </c>
      <c r="N25" s="353">
        <v>739.91</v>
      </c>
    </row>
    <row r="26" spans="1:16" x14ac:dyDescent="0.25">
      <c r="G26" s="336">
        <v>3</v>
      </c>
      <c r="H26" s="352" t="s">
        <v>366</v>
      </c>
      <c r="I26" s="352" t="s">
        <v>21</v>
      </c>
      <c r="J26" s="352" t="s">
        <v>183</v>
      </c>
      <c r="K26" s="352" t="s">
        <v>72</v>
      </c>
      <c r="L26" s="353">
        <v>613.19000000000005</v>
      </c>
      <c r="M26" s="353">
        <v>21.67</v>
      </c>
      <c r="N26" s="353">
        <v>1474.51</v>
      </c>
      <c r="O26" s="364">
        <f>SUM(L14:N26)</f>
        <v>140327.15999999997</v>
      </c>
      <c r="P26" s="365" t="s">
        <v>110</v>
      </c>
    </row>
    <row r="27" spans="1:16" x14ac:dyDescent="0.25">
      <c r="G27" s="336">
        <v>4</v>
      </c>
      <c r="H27" s="366" t="s">
        <v>366</v>
      </c>
      <c r="I27" s="366" t="s">
        <v>43</v>
      </c>
      <c r="J27" s="366" t="s">
        <v>21</v>
      </c>
      <c r="K27" s="366" t="s">
        <v>21</v>
      </c>
      <c r="L27" s="367">
        <v>40008.050000000003</v>
      </c>
      <c r="M27" s="367">
        <v>63210.67</v>
      </c>
      <c r="N27" s="367">
        <v>123584.05</v>
      </c>
    </row>
    <row r="28" spans="1:16" x14ac:dyDescent="0.25">
      <c r="G28" s="336">
        <v>4</v>
      </c>
      <c r="H28" s="366" t="s">
        <v>366</v>
      </c>
      <c r="I28" s="366" t="s">
        <v>45</v>
      </c>
      <c r="J28" s="366" t="s">
        <v>21</v>
      </c>
      <c r="K28" s="366" t="s">
        <v>21</v>
      </c>
      <c r="L28" s="367">
        <v>32298.61</v>
      </c>
      <c r="M28" s="367">
        <v>28426.51</v>
      </c>
      <c r="N28" s="367">
        <v>162055.03</v>
      </c>
    </row>
    <row r="29" spans="1:16" x14ac:dyDescent="0.25">
      <c r="D29" s="345"/>
      <c r="E29" s="345"/>
      <c r="F29" s="345"/>
      <c r="G29" s="336">
        <v>4</v>
      </c>
      <c r="H29" s="366" t="s">
        <v>366</v>
      </c>
      <c r="I29" s="366" t="s">
        <v>46</v>
      </c>
      <c r="J29" s="366" t="s">
        <v>21</v>
      </c>
      <c r="K29" s="366" t="s">
        <v>21</v>
      </c>
      <c r="L29" s="367">
        <v>10202.57</v>
      </c>
      <c r="M29" s="367">
        <v>15108.05</v>
      </c>
      <c r="N29" s="367">
        <v>51508.15</v>
      </c>
    </row>
    <row r="30" spans="1:16" x14ac:dyDescent="0.25">
      <c r="D30" s="345"/>
      <c r="E30" s="345"/>
      <c r="F30" s="345"/>
      <c r="G30" s="336">
        <v>4</v>
      </c>
      <c r="H30" s="366" t="s">
        <v>366</v>
      </c>
      <c r="I30" s="366" t="s">
        <v>50</v>
      </c>
      <c r="J30" s="366" t="s">
        <v>21</v>
      </c>
      <c r="K30" s="366" t="s">
        <v>21</v>
      </c>
      <c r="L30" s="367">
        <v>7510.74</v>
      </c>
      <c r="M30" s="367">
        <v>48022.65</v>
      </c>
      <c r="N30" s="367">
        <v>13173.78</v>
      </c>
      <c r="O30" s="368">
        <f>SUM(L27:N30)</f>
        <v>595108.8600000001</v>
      </c>
      <c r="P30" s="369" t="s">
        <v>369</v>
      </c>
    </row>
    <row r="31" spans="1:16" x14ac:dyDescent="0.25">
      <c r="G31" s="336">
        <v>5</v>
      </c>
      <c r="H31" s="340" t="s">
        <v>366</v>
      </c>
      <c r="I31" s="340" t="s">
        <v>21</v>
      </c>
      <c r="J31" s="340" t="s">
        <v>21</v>
      </c>
      <c r="K31" s="340" t="s">
        <v>21</v>
      </c>
      <c r="L31" s="341">
        <v>22679.89</v>
      </c>
      <c r="M31" s="341">
        <v>11701.63</v>
      </c>
      <c r="N31" s="341">
        <v>57842.94</v>
      </c>
    </row>
    <row r="32" spans="1:16" x14ac:dyDescent="0.25">
      <c r="G32" s="336">
        <v>5</v>
      </c>
      <c r="H32" s="340" t="s">
        <v>366</v>
      </c>
      <c r="I32" s="340" t="s">
        <v>43</v>
      </c>
      <c r="J32" s="340" t="s">
        <v>52</v>
      </c>
      <c r="K32" s="340" t="s">
        <v>178</v>
      </c>
      <c r="L32" s="341">
        <v>0</v>
      </c>
      <c r="M32" s="341">
        <v>914.75</v>
      </c>
      <c r="N32" s="341">
        <v>3410.98</v>
      </c>
    </row>
    <row r="33" spans="7:14" x14ac:dyDescent="0.25">
      <c r="G33" s="336">
        <v>5</v>
      </c>
      <c r="H33" s="340" t="s">
        <v>366</v>
      </c>
      <c r="I33" s="340" t="s">
        <v>43</v>
      </c>
      <c r="J33" s="340" t="s">
        <v>52</v>
      </c>
      <c r="K33" s="340" t="s">
        <v>210</v>
      </c>
      <c r="L33" s="341">
        <v>261.81</v>
      </c>
      <c r="M33" s="341">
        <v>0</v>
      </c>
      <c r="N33" s="341">
        <v>1960</v>
      </c>
    </row>
    <row r="34" spans="7:14" x14ac:dyDescent="0.25">
      <c r="G34" s="336">
        <v>5</v>
      </c>
      <c r="H34" s="340" t="s">
        <v>366</v>
      </c>
      <c r="I34" s="340" t="s">
        <v>43</v>
      </c>
      <c r="J34" s="340" t="s">
        <v>55</v>
      </c>
      <c r="K34" s="340" t="s">
        <v>72</v>
      </c>
      <c r="L34" s="341">
        <v>85.89</v>
      </c>
      <c r="M34" s="341">
        <v>1056.8599999999999</v>
      </c>
      <c r="N34" s="341">
        <v>68.34</v>
      </c>
    </row>
    <row r="35" spans="7:14" x14ac:dyDescent="0.25">
      <c r="G35" s="336">
        <v>5</v>
      </c>
      <c r="H35" s="340" t="s">
        <v>366</v>
      </c>
      <c r="I35" s="340" t="s">
        <v>43</v>
      </c>
      <c r="J35" s="340" t="s">
        <v>183</v>
      </c>
      <c r="K35" s="340" t="s">
        <v>360</v>
      </c>
      <c r="L35" s="341">
        <v>1191.97</v>
      </c>
      <c r="M35" s="341">
        <v>0</v>
      </c>
      <c r="N35" s="341">
        <v>1662.41</v>
      </c>
    </row>
    <row r="36" spans="7:14" x14ac:dyDescent="0.25">
      <c r="G36" s="336">
        <v>5</v>
      </c>
      <c r="H36" s="340" t="s">
        <v>366</v>
      </c>
      <c r="I36" s="340" t="s">
        <v>43</v>
      </c>
      <c r="J36" s="340" t="s">
        <v>183</v>
      </c>
      <c r="K36" s="340" t="s">
        <v>361</v>
      </c>
      <c r="L36" s="341">
        <v>333.69</v>
      </c>
      <c r="M36" s="341">
        <v>0</v>
      </c>
      <c r="N36" s="341">
        <v>861.85</v>
      </c>
    </row>
    <row r="37" spans="7:14" x14ac:dyDescent="0.25">
      <c r="G37" s="336">
        <v>5</v>
      </c>
      <c r="H37" s="340" t="s">
        <v>366</v>
      </c>
      <c r="I37" s="340" t="s">
        <v>43</v>
      </c>
      <c r="J37" s="340" t="s">
        <v>183</v>
      </c>
      <c r="K37" s="340" t="s">
        <v>363</v>
      </c>
      <c r="L37" s="341">
        <v>0</v>
      </c>
      <c r="M37" s="341">
        <v>0</v>
      </c>
      <c r="N37" s="341">
        <v>679.6</v>
      </c>
    </row>
    <row r="38" spans="7:14" x14ac:dyDescent="0.25">
      <c r="G38" s="336">
        <v>5</v>
      </c>
      <c r="H38" s="340" t="s">
        <v>366</v>
      </c>
      <c r="I38" s="340" t="s">
        <v>43</v>
      </c>
      <c r="J38" s="340" t="s">
        <v>183</v>
      </c>
      <c r="K38" s="340" t="s">
        <v>364</v>
      </c>
      <c r="L38" s="341">
        <v>1613.05</v>
      </c>
      <c r="M38" s="341">
        <v>0</v>
      </c>
      <c r="N38" s="341">
        <v>738.22</v>
      </c>
    </row>
    <row r="39" spans="7:14" x14ac:dyDescent="0.25">
      <c r="G39" s="336">
        <v>5</v>
      </c>
      <c r="H39" s="340" t="s">
        <v>366</v>
      </c>
      <c r="I39" s="340" t="s">
        <v>45</v>
      </c>
      <c r="J39" s="340" t="s">
        <v>55</v>
      </c>
      <c r="K39" s="340" t="s">
        <v>72</v>
      </c>
      <c r="L39" s="341">
        <v>6.96</v>
      </c>
      <c r="M39" s="341">
        <v>0</v>
      </c>
      <c r="N39" s="341">
        <v>1656.65</v>
      </c>
    </row>
    <row r="40" spans="7:14" x14ac:dyDescent="0.25">
      <c r="G40" s="336">
        <v>5</v>
      </c>
      <c r="H40" s="340" t="s">
        <v>366</v>
      </c>
      <c r="I40" s="340" t="s">
        <v>45</v>
      </c>
      <c r="J40" s="340" t="s">
        <v>183</v>
      </c>
      <c r="K40" s="340" t="s">
        <v>360</v>
      </c>
      <c r="L40" s="341">
        <v>276.33</v>
      </c>
      <c r="M40" s="341">
        <v>121.83</v>
      </c>
      <c r="N40" s="341">
        <v>962.21</v>
      </c>
    </row>
    <row r="41" spans="7:14" x14ac:dyDescent="0.25">
      <c r="G41" s="336">
        <v>5</v>
      </c>
      <c r="H41" s="340" t="s">
        <v>366</v>
      </c>
      <c r="I41" s="340" t="s">
        <v>45</v>
      </c>
      <c r="J41" s="340" t="s">
        <v>183</v>
      </c>
      <c r="K41" s="340" t="s">
        <v>361</v>
      </c>
      <c r="L41" s="341">
        <v>308.33</v>
      </c>
      <c r="M41" s="341">
        <v>0</v>
      </c>
      <c r="N41" s="341">
        <v>306.54000000000002</v>
      </c>
    </row>
    <row r="42" spans="7:14" x14ac:dyDescent="0.25">
      <c r="G42" s="336">
        <v>5</v>
      </c>
      <c r="H42" s="340" t="s">
        <v>366</v>
      </c>
      <c r="I42" s="340" t="s">
        <v>45</v>
      </c>
      <c r="J42" s="340" t="s">
        <v>183</v>
      </c>
      <c r="K42" s="340" t="s">
        <v>362</v>
      </c>
      <c r="L42" s="341">
        <v>633.33000000000004</v>
      </c>
      <c r="M42" s="341">
        <v>0</v>
      </c>
      <c r="N42" s="341">
        <v>3331.68</v>
      </c>
    </row>
    <row r="43" spans="7:14" x14ac:dyDescent="0.25">
      <c r="G43" s="336">
        <v>5</v>
      </c>
      <c r="H43" s="340" t="s">
        <v>366</v>
      </c>
      <c r="I43" s="340" t="s">
        <v>45</v>
      </c>
      <c r="J43" s="340" t="s">
        <v>183</v>
      </c>
      <c r="K43" s="340" t="s">
        <v>363</v>
      </c>
      <c r="L43" s="341">
        <v>712.31</v>
      </c>
      <c r="M43" s="341">
        <v>372.93</v>
      </c>
      <c r="N43" s="341">
        <v>4438.59</v>
      </c>
    </row>
    <row r="44" spans="7:14" x14ac:dyDescent="0.25">
      <c r="G44" s="336">
        <v>5</v>
      </c>
      <c r="H44" s="340" t="s">
        <v>366</v>
      </c>
      <c r="I44" s="340" t="s">
        <v>45</v>
      </c>
      <c r="J44" s="340" t="s">
        <v>183</v>
      </c>
      <c r="K44" s="340" t="s">
        <v>364</v>
      </c>
      <c r="L44" s="341">
        <v>0</v>
      </c>
      <c r="M44" s="341">
        <v>108.75</v>
      </c>
      <c r="N44" s="341">
        <v>2088.37</v>
      </c>
    </row>
    <row r="45" spans="7:14" x14ac:dyDescent="0.25">
      <c r="G45" s="336">
        <v>5</v>
      </c>
      <c r="H45" s="340" t="s">
        <v>366</v>
      </c>
      <c r="I45" s="340" t="s">
        <v>45</v>
      </c>
      <c r="J45" s="340" t="s">
        <v>183</v>
      </c>
      <c r="K45" s="340" t="s">
        <v>365</v>
      </c>
      <c r="L45" s="341">
        <v>0</v>
      </c>
      <c r="M45" s="341">
        <v>153.93</v>
      </c>
      <c r="N45" s="341">
        <v>337.61</v>
      </c>
    </row>
    <row r="46" spans="7:14" x14ac:dyDescent="0.25">
      <c r="G46" s="336">
        <v>5</v>
      </c>
      <c r="H46" s="340" t="s">
        <v>366</v>
      </c>
      <c r="I46" s="340" t="s">
        <v>45</v>
      </c>
      <c r="J46" s="340" t="s">
        <v>183</v>
      </c>
      <c r="K46" s="340" t="s">
        <v>72</v>
      </c>
      <c r="L46" s="341">
        <v>264.31</v>
      </c>
      <c r="M46" s="341">
        <v>0</v>
      </c>
      <c r="N46" s="341">
        <v>855.35</v>
      </c>
    </row>
    <row r="47" spans="7:14" x14ac:dyDescent="0.25">
      <c r="G47" s="336">
        <v>5</v>
      </c>
      <c r="H47" s="340" t="s">
        <v>366</v>
      </c>
      <c r="I47" s="340" t="s">
        <v>46</v>
      </c>
      <c r="J47" s="340" t="s">
        <v>52</v>
      </c>
      <c r="K47" s="340" t="s">
        <v>178</v>
      </c>
      <c r="L47" s="341">
        <v>0</v>
      </c>
      <c r="M47" s="341">
        <v>620.14</v>
      </c>
      <c r="N47" s="341">
        <v>760.94</v>
      </c>
    </row>
    <row r="48" spans="7:14" x14ac:dyDescent="0.25">
      <c r="G48" s="336">
        <v>5</v>
      </c>
      <c r="H48" s="340" t="s">
        <v>366</v>
      </c>
      <c r="I48" s="340" t="s">
        <v>46</v>
      </c>
      <c r="J48" s="340" t="s">
        <v>52</v>
      </c>
      <c r="K48" s="340" t="s">
        <v>240</v>
      </c>
      <c r="L48" s="341">
        <v>0</v>
      </c>
      <c r="M48" s="341">
        <v>0</v>
      </c>
      <c r="N48" s="341">
        <v>4365.6099999999997</v>
      </c>
    </row>
    <row r="49" spans="7:14" x14ac:dyDescent="0.25">
      <c r="G49" s="336">
        <v>5</v>
      </c>
      <c r="H49" s="340" t="s">
        <v>366</v>
      </c>
      <c r="I49" s="340" t="s">
        <v>46</v>
      </c>
      <c r="J49" s="340" t="s">
        <v>183</v>
      </c>
      <c r="K49" s="340" t="s">
        <v>72</v>
      </c>
      <c r="L49" s="341">
        <v>1232.51</v>
      </c>
      <c r="M49" s="341">
        <v>0</v>
      </c>
      <c r="N49" s="341">
        <v>2648.69</v>
      </c>
    </row>
    <row r="50" spans="7:14" x14ac:dyDescent="0.25">
      <c r="G50" s="336">
        <v>5</v>
      </c>
      <c r="H50" s="340" t="s">
        <v>366</v>
      </c>
      <c r="I50" s="340" t="s">
        <v>50</v>
      </c>
      <c r="J50" s="340" t="s">
        <v>52</v>
      </c>
      <c r="K50" s="340" t="s">
        <v>178</v>
      </c>
      <c r="L50" s="341">
        <v>604.01</v>
      </c>
      <c r="M50" s="341">
        <v>7485.92</v>
      </c>
      <c r="N50" s="341">
        <v>2501.79</v>
      </c>
    </row>
    <row r="51" spans="7:14" x14ac:dyDescent="0.25">
      <c r="G51" s="336">
        <v>5</v>
      </c>
      <c r="H51" s="340" t="s">
        <v>366</v>
      </c>
      <c r="I51" s="340" t="s">
        <v>50</v>
      </c>
      <c r="J51" s="340" t="s">
        <v>52</v>
      </c>
      <c r="K51" s="340" t="s">
        <v>72</v>
      </c>
      <c r="L51" s="341">
        <v>0</v>
      </c>
      <c r="M51" s="341">
        <v>3470.61</v>
      </c>
      <c r="N51" s="341">
        <v>0</v>
      </c>
    </row>
    <row r="52" spans="7:14" x14ac:dyDescent="0.25">
      <c r="G52" s="336">
        <v>5</v>
      </c>
      <c r="H52" s="340" t="s">
        <v>366</v>
      </c>
      <c r="I52" s="340" t="s">
        <v>50</v>
      </c>
      <c r="J52" s="340" t="s">
        <v>55</v>
      </c>
      <c r="K52" s="340" t="s">
        <v>54</v>
      </c>
      <c r="L52" s="341">
        <v>0</v>
      </c>
      <c r="M52" s="341">
        <v>0</v>
      </c>
      <c r="N52" s="341">
        <v>129.76</v>
      </c>
    </row>
    <row r="53" spans="7:14" x14ac:dyDescent="0.25">
      <c r="G53" s="336">
        <v>5</v>
      </c>
      <c r="H53" s="340" t="s">
        <v>366</v>
      </c>
      <c r="I53" s="340" t="s">
        <v>50</v>
      </c>
      <c r="J53" s="340" t="s">
        <v>55</v>
      </c>
      <c r="K53" s="340" t="s">
        <v>72</v>
      </c>
      <c r="L53" s="341">
        <v>0</v>
      </c>
      <c r="M53" s="341">
        <v>292.35000000000002</v>
      </c>
      <c r="N53" s="341">
        <v>118.97</v>
      </c>
    </row>
    <row r="54" spans="7:14" x14ac:dyDescent="0.25">
      <c r="H54" s="405" t="s">
        <v>366</v>
      </c>
      <c r="I54" s="405" t="s">
        <v>21</v>
      </c>
      <c r="J54" s="405" t="s">
        <v>367</v>
      </c>
      <c r="K54" s="405" t="s">
        <v>368</v>
      </c>
      <c r="L54" s="406">
        <v>60.06</v>
      </c>
      <c r="M54" s="406">
        <v>395.06</v>
      </c>
      <c r="N54" s="406">
        <v>320.24</v>
      </c>
    </row>
  </sheetData>
  <mergeCells count="13">
    <mergeCell ref="D19:E19"/>
    <mergeCell ref="A4:F4"/>
    <mergeCell ref="H4:N4"/>
    <mergeCell ref="A5:F5"/>
    <mergeCell ref="H5:N5"/>
    <mergeCell ref="D16:E16"/>
    <mergeCell ref="D17:E17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ignoredErrors>
    <ignoredError sqref="B16:B19" formulaRange="1"/>
  </ignoredErrors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P45"/>
  <sheetViews>
    <sheetView zoomScale="80" zoomScaleNormal="80" workbookViewId="0">
      <selection activeCell="H5" sqref="H5:N5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366</v>
      </c>
      <c r="B8" s="340" t="s">
        <v>38</v>
      </c>
      <c r="C8" s="340" t="s">
        <v>3</v>
      </c>
      <c r="D8" s="342">
        <v>0</v>
      </c>
      <c r="E8" s="342">
        <v>370.01</v>
      </c>
      <c r="F8" s="342">
        <v>43656.36</v>
      </c>
      <c r="H8" s="343" t="s">
        <v>366</v>
      </c>
      <c r="I8" s="343" t="s">
        <v>21</v>
      </c>
      <c r="J8" s="343" t="s">
        <v>52</v>
      </c>
      <c r="K8" s="343" t="s">
        <v>209</v>
      </c>
      <c r="L8" s="344">
        <v>805.68</v>
      </c>
      <c r="M8" s="344">
        <v>220.48</v>
      </c>
      <c r="N8" s="344">
        <v>35512.089999999997</v>
      </c>
    </row>
    <row r="9" spans="1:16" x14ac:dyDescent="0.25">
      <c r="A9" s="340" t="s">
        <v>366</v>
      </c>
      <c r="B9" s="340" t="s">
        <v>38</v>
      </c>
      <c r="C9" s="340" t="s">
        <v>323</v>
      </c>
      <c r="D9" s="342">
        <v>6.28</v>
      </c>
      <c r="E9" s="342">
        <v>1.56</v>
      </c>
      <c r="F9" s="342">
        <v>15.27</v>
      </c>
      <c r="G9" s="345"/>
      <c r="H9" s="343" t="s">
        <v>366</v>
      </c>
      <c r="I9" s="343" t="s">
        <v>21</v>
      </c>
      <c r="J9" s="343" t="s">
        <v>52</v>
      </c>
      <c r="K9" s="343" t="s">
        <v>178</v>
      </c>
      <c r="L9" s="344">
        <v>19790.150000000001</v>
      </c>
      <c r="M9" s="344">
        <v>1990.37</v>
      </c>
      <c r="N9" s="344">
        <v>39483.019999999997</v>
      </c>
    </row>
    <row r="10" spans="1:16" x14ac:dyDescent="0.25">
      <c r="A10" s="340" t="s">
        <v>366</v>
      </c>
      <c r="B10" s="340" t="s">
        <v>38</v>
      </c>
      <c r="C10" s="340" t="s">
        <v>41</v>
      </c>
      <c r="D10" s="342">
        <v>271129.76</v>
      </c>
      <c r="E10" s="342">
        <v>63172.97</v>
      </c>
      <c r="F10" s="342">
        <v>675315.7</v>
      </c>
      <c r="G10" s="345"/>
      <c r="H10" s="343" t="s">
        <v>366</v>
      </c>
      <c r="I10" s="343" t="s">
        <v>21</v>
      </c>
      <c r="J10" s="343" t="s">
        <v>52</v>
      </c>
      <c r="K10" s="343" t="s">
        <v>332</v>
      </c>
      <c r="L10" s="344">
        <v>2796.67</v>
      </c>
      <c r="M10" s="344">
        <v>315.56</v>
      </c>
      <c r="N10" s="344">
        <v>16838.62</v>
      </c>
    </row>
    <row r="11" spans="1:16" x14ac:dyDescent="0.25">
      <c r="A11" s="340" t="s">
        <v>366</v>
      </c>
      <c r="B11" s="340" t="s">
        <v>39</v>
      </c>
      <c r="C11" s="340" t="s">
        <v>41</v>
      </c>
      <c r="D11" s="342">
        <v>37792.6</v>
      </c>
      <c r="E11" s="342">
        <v>17957.29</v>
      </c>
      <c r="F11" s="342">
        <v>144296.34</v>
      </c>
      <c r="H11" s="343" t="s">
        <v>366</v>
      </c>
      <c r="I11" s="343" t="s">
        <v>21</v>
      </c>
      <c r="J11" s="343" t="s">
        <v>52</v>
      </c>
      <c r="K11" s="343" t="s">
        <v>210</v>
      </c>
      <c r="L11" s="344">
        <v>1250.26</v>
      </c>
      <c r="M11" s="344">
        <v>2003.33</v>
      </c>
      <c r="N11" s="344">
        <v>81856.289999999994</v>
      </c>
    </row>
    <row r="12" spans="1:16" x14ac:dyDescent="0.25">
      <c r="H12" s="343" t="s">
        <v>366</v>
      </c>
      <c r="I12" s="343" t="s">
        <v>21</v>
      </c>
      <c r="J12" s="343" t="s">
        <v>52</v>
      </c>
      <c r="K12" s="343" t="s">
        <v>72</v>
      </c>
      <c r="L12" s="344">
        <v>14273.45</v>
      </c>
      <c r="M12" s="344">
        <v>15702.64</v>
      </c>
      <c r="N12" s="344">
        <v>24921.51</v>
      </c>
      <c r="O12" s="346">
        <f>SUM(L8:N12)</f>
        <v>257760.12</v>
      </c>
      <c r="P12" s="347" t="s">
        <v>52</v>
      </c>
    </row>
    <row r="13" spans="1:16" x14ac:dyDescent="0.25">
      <c r="H13" s="348" t="s">
        <v>366</v>
      </c>
      <c r="I13" s="348" t="s">
        <v>21</v>
      </c>
      <c r="J13" s="348" t="s">
        <v>52</v>
      </c>
      <c r="K13" s="348" t="s">
        <v>240</v>
      </c>
      <c r="L13" s="349">
        <v>1354.49</v>
      </c>
      <c r="M13" s="349">
        <v>725.36</v>
      </c>
      <c r="N13" s="349">
        <v>98591.55</v>
      </c>
      <c r="O13" s="350">
        <f>SUM(L13:N13)</f>
        <v>100671.40000000001</v>
      </c>
      <c r="P13" s="351" t="s">
        <v>253</v>
      </c>
    </row>
    <row r="14" spans="1:16" x14ac:dyDescent="0.25">
      <c r="H14" s="352" t="s">
        <v>366</v>
      </c>
      <c r="I14" s="352" t="s">
        <v>21</v>
      </c>
      <c r="J14" s="352" t="s">
        <v>55</v>
      </c>
      <c r="K14" s="352" t="s">
        <v>182</v>
      </c>
      <c r="L14" s="353">
        <v>4499.76</v>
      </c>
      <c r="M14" s="353">
        <v>0</v>
      </c>
      <c r="N14" s="353">
        <v>5130.2700000000004</v>
      </c>
    </row>
    <row r="15" spans="1:16" x14ac:dyDescent="0.25">
      <c r="A15" s="354" t="s">
        <v>79</v>
      </c>
      <c r="B15" s="355" t="s">
        <v>80</v>
      </c>
      <c r="D15" s="356" t="s">
        <v>184</v>
      </c>
      <c r="E15" s="357"/>
      <c r="F15" s="358" t="s">
        <v>185</v>
      </c>
      <c r="H15" s="352" t="s">
        <v>366</v>
      </c>
      <c r="I15" s="352" t="s">
        <v>21</v>
      </c>
      <c r="J15" s="352" t="s">
        <v>55</v>
      </c>
      <c r="K15" s="352" t="s">
        <v>54</v>
      </c>
      <c r="L15" s="353">
        <v>775.7</v>
      </c>
      <c r="M15" s="353">
        <v>354.19</v>
      </c>
      <c r="N15" s="353">
        <v>1830.55</v>
      </c>
    </row>
    <row r="16" spans="1:16" x14ac:dyDescent="0.25">
      <c r="A16" s="336" t="s">
        <v>38</v>
      </c>
      <c r="B16" s="359">
        <f>SUM(D10:F10)</f>
        <v>1009618.4299999999</v>
      </c>
      <c r="D16" s="502" t="s">
        <v>81</v>
      </c>
      <c r="E16" s="502"/>
      <c r="F16" s="360">
        <f>O12/B20</f>
        <v>0.20559720256485259</v>
      </c>
      <c r="H16" s="352" t="s">
        <v>366</v>
      </c>
      <c r="I16" s="352" t="s">
        <v>21</v>
      </c>
      <c r="J16" s="352" t="s">
        <v>55</v>
      </c>
      <c r="K16" s="352" t="s">
        <v>66</v>
      </c>
      <c r="L16" s="353">
        <v>1229.48</v>
      </c>
      <c r="M16" s="353">
        <v>0</v>
      </c>
      <c r="N16" s="353">
        <v>1820.78</v>
      </c>
    </row>
    <row r="17" spans="1:16" x14ac:dyDescent="0.25">
      <c r="A17" s="336" t="s">
        <v>39</v>
      </c>
      <c r="B17" s="359">
        <f>SUM(D11:F11)</f>
        <v>200046.22999999998</v>
      </c>
      <c r="D17" s="481" t="s">
        <v>253</v>
      </c>
      <c r="E17" s="481"/>
      <c r="F17" s="360">
        <f>O13/B20</f>
        <v>8.0298528020111504E-2</v>
      </c>
      <c r="H17" s="352" t="s">
        <v>366</v>
      </c>
      <c r="I17" s="352" t="s">
        <v>21</v>
      </c>
      <c r="J17" s="352" t="s">
        <v>55</v>
      </c>
      <c r="K17" s="352" t="s">
        <v>67</v>
      </c>
      <c r="L17" s="353">
        <v>97.26</v>
      </c>
      <c r="M17" s="353">
        <v>678.39</v>
      </c>
      <c r="N17" s="353">
        <v>10453.17</v>
      </c>
    </row>
    <row r="18" spans="1:16" x14ac:dyDescent="0.25">
      <c r="A18" s="336" t="s">
        <v>2</v>
      </c>
      <c r="B18" s="359">
        <f>SUM(D9:F9)</f>
        <v>23.11</v>
      </c>
      <c r="D18" s="336" t="s">
        <v>78</v>
      </c>
      <c r="F18" s="360">
        <f>O23/B20</f>
        <v>9.4583227720475435E-2</v>
      </c>
      <c r="H18" s="352" t="s">
        <v>366</v>
      </c>
      <c r="I18" s="352" t="s">
        <v>21</v>
      </c>
      <c r="J18" s="352" t="s">
        <v>55</v>
      </c>
      <c r="K18" s="352" t="s">
        <v>68</v>
      </c>
      <c r="L18" s="353">
        <v>7862.32</v>
      </c>
      <c r="M18" s="353">
        <v>156.76</v>
      </c>
      <c r="N18" s="353">
        <v>20958.89</v>
      </c>
    </row>
    <row r="19" spans="1:16" x14ac:dyDescent="0.25">
      <c r="A19" s="336" t="s">
        <v>3</v>
      </c>
      <c r="B19" s="359">
        <f>SUM(D8:F8)</f>
        <v>44026.37</v>
      </c>
      <c r="D19" s="481" t="s">
        <v>42</v>
      </c>
      <c r="E19" s="481"/>
      <c r="F19" s="360">
        <f>O27/B20</f>
        <v>0.50054082504006847</v>
      </c>
      <c r="H19" s="352" t="s">
        <v>366</v>
      </c>
      <c r="I19" s="352" t="s">
        <v>21</v>
      </c>
      <c r="J19" s="352" t="s">
        <v>55</v>
      </c>
      <c r="K19" s="352" t="s">
        <v>72</v>
      </c>
      <c r="L19" s="353">
        <v>8587.2800000000007</v>
      </c>
      <c r="M19" s="353">
        <v>1662.94</v>
      </c>
      <c r="N19" s="353">
        <v>39430.160000000003</v>
      </c>
    </row>
    <row r="20" spans="1:16" ht="15.75" thickBot="1" x14ac:dyDescent="0.3">
      <c r="A20" s="361"/>
      <c r="B20" s="404">
        <f>SUM(B16:B19)</f>
        <v>1253714.1400000001</v>
      </c>
      <c r="F20" s="363">
        <f>SUM(F16:F19)</f>
        <v>0.88101978334550801</v>
      </c>
      <c r="H20" s="352" t="s">
        <v>366</v>
      </c>
      <c r="I20" s="352" t="s">
        <v>21</v>
      </c>
      <c r="J20" s="352" t="s">
        <v>183</v>
      </c>
      <c r="K20" s="352" t="s">
        <v>363</v>
      </c>
      <c r="L20" s="353">
        <v>317.85000000000002</v>
      </c>
      <c r="M20" s="353">
        <v>0</v>
      </c>
      <c r="N20" s="353">
        <v>1132.73</v>
      </c>
    </row>
    <row r="21" spans="1:16" x14ac:dyDescent="0.25">
      <c r="E21" s="393" t="s">
        <v>356</v>
      </c>
      <c r="F21" s="394">
        <v>216</v>
      </c>
      <c r="H21" s="352" t="s">
        <v>366</v>
      </c>
      <c r="I21" s="352" t="s">
        <v>21</v>
      </c>
      <c r="J21" s="352" t="s">
        <v>183</v>
      </c>
      <c r="K21" s="352" t="s">
        <v>364</v>
      </c>
      <c r="L21" s="353">
        <v>174.69</v>
      </c>
      <c r="M21" s="353">
        <v>1310.99</v>
      </c>
      <c r="N21" s="353">
        <v>2646.28</v>
      </c>
    </row>
    <row r="22" spans="1:16" x14ac:dyDescent="0.25">
      <c r="H22" s="352" t="s">
        <v>366</v>
      </c>
      <c r="I22" s="352" t="s">
        <v>21</v>
      </c>
      <c r="J22" s="352" t="s">
        <v>183</v>
      </c>
      <c r="K22" s="352" t="s">
        <v>365</v>
      </c>
      <c r="L22" s="353">
        <v>0</v>
      </c>
      <c r="M22" s="353">
        <v>1220.8499999999999</v>
      </c>
      <c r="N22" s="353">
        <v>2549.37</v>
      </c>
    </row>
    <row r="23" spans="1:16" x14ac:dyDescent="0.25">
      <c r="H23" s="352" t="s">
        <v>366</v>
      </c>
      <c r="I23" s="352" t="s">
        <v>21</v>
      </c>
      <c r="J23" s="352" t="s">
        <v>183</v>
      </c>
      <c r="K23" s="352" t="s">
        <v>72</v>
      </c>
      <c r="L23" s="353">
        <v>479.24</v>
      </c>
      <c r="M23" s="353">
        <v>78.069999999999993</v>
      </c>
      <c r="N23" s="353">
        <v>3142.36</v>
      </c>
      <c r="O23" s="364">
        <f>SUM(L14:N23)</f>
        <v>118580.33000000003</v>
      </c>
      <c r="P23" s="365" t="s">
        <v>110</v>
      </c>
    </row>
    <row r="24" spans="1:16" x14ac:dyDescent="0.25">
      <c r="H24" s="366" t="s">
        <v>366</v>
      </c>
      <c r="I24" s="366" t="s">
        <v>43</v>
      </c>
      <c r="J24" s="366" t="s">
        <v>21</v>
      </c>
      <c r="K24" s="366" t="s">
        <v>21</v>
      </c>
      <c r="L24" s="367">
        <v>73046.83</v>
      </c>
      <c r="M24" s="367">
        <v>11425.25</v>
      </c>
      <c r="N24" s="367">
        <v>137934.48000000001</v>
      </c>
    </row>
    <row r="25" spans="1:16" x14ac:dyDescent="0.25">
      <c r="H25" s="366" t="s">
        <v>366</v>
      </c>
      <c r="I25" s="366" t="s">
        <v>45</v>
      </c>
      <c r="J25" s="366" t="s">
        <v>21</v>
      </c>
      <c r="K25" s="366" t="s">
        <v>21</v>
      </c>
      <c r="L25" s="367">
        <v>31890.75</v>
      </c>
      <c r="M25" s="367">
        <v>19382.5</v>
      </c>
      <c r="N25" s="367">
        <v>172829.75</v>
      </c>
    </row>
    <row r="26" spans="1:16" x14ac:dyDescent="0.25">
      <c r="H26" s="366" t="s">
        <v>366</v>
      </c>
      <c r="I26" s="366" t="s">
        <v>46</v>
      </c>
      <c r="J26" s="366" t="s">
        <v>21</v>
      </c>
      <c r="K26" s="366" t="s">
        <v>21</v>
      </c>
      <c r="L26" s="367">
        <v>19605.759999999998</v>
      </c>
      <c r="M26" s="367">
        <v>10688.97</v>
      </c>
      <c r="N26" s="367">
        <v>49645.34</v>
      </c>
    </row>
    <row r="27" spans="1:16" x14ac:dyDescent="0.25">
      <c r="H27" s="366" t="s">
        <v>366</v>
      </c>
      <c r="I27" s="366" t="s">
        <v>50</v>
      </c>
      <c r="J27" s="366" t="s">
        <v>21</v>
      </c>
      <c r="K27" s="366" t="s">
        <v>21</v>
      </c>
      <c r="L27" s="367">
        <v>71827.41</v>
      </c>
      <c r="M27" s="367">
        <v>4910.6000000000004</v>
      </c>
      <c r="N27" s="367">
        <v>24347.47</v>
      </c>
      <c r="O27" s="368">
        <f>SUM(L24:N27)</f>
        <v>627535.11</v>
      </c>
      <c r="P27" s="369" t="s">
        <v>369</v>
      </c>
    </row>
    <row r="28" spans="1:16" x14ac:dyDescent="0.25">
      <c r="H28" s="340" t="s">
        <v>366</v>
      </c>
      <c r="I28" s="340" t="s">
        <v>21</v>
      </c>
      <c r="J28" s="340" t="s">
        <v>21</v>
      </c>
      <c r="K28" s="340" t="s">
        <v>21</v>
      </c>
      <c r="L28" s="341">
        <v>35252.15</v>
      </c>
      <c r="M28" s="341">
        <v>6388.36</v>
      </c>
      <c r="N28" s="341">
        <v>59971.5</v>
      </c>
    </row>
    <row r="29" spans="1:16" x14ac:dyDescent="0.25">
      <c r="D29" s="345"/>
      <c r="E29" s="345"/>
      <c r="F29" s="345"/>
      <c r="H29" s="340" t="s">
        <v>366</v>
      </c>
      <c r="I29" s="340" t="s">
        <v>43</v>
      </c>
      <c r="J29" s="340" t="s">
        <v>52</v>
      </c>
      <c r="K29" s="340" t="s">
        <v>178</v>
      </c>
      <c r="L29" s="341">
        <v>914.75</v>
      </c>
      <c r="M29" s="341">
        <v>247.77</v>
      </c>
      <c r="N29" s="341">
        <v>3373.13</v>
      </c>
    </row>
    <row r="30" spans="1:16" x14ac:dyDescent="0.25">
      <c r="D30" s="345"/>
      <c r="E30" s="345"/>
      <c r="F30" s="345"/>
      <c r="H30" s="340" t="s">
        <v>366</v>
      </c>
      <c r="I30" s="340" t="s">
        <v>43</v>
      </c>
      <c r="J30" s="340" t="s">
        <v>52</v>
      </c>
      <c r="K30" s="340" t="s">
        <v>332</v>
      </c>
      <c r="L30" s="341">
        <v>0</v>
      </c>
      <c r="M30" s="341">
        <v>206.3</v>
      </c>
      <c r="N30" s="341">
        <v>105.55</v>
      </c>
    </row>
    <row r="31" spans="1:16" x14ac:dyDescent="0.25">
      <c r="H31" s="340" t="s">
        <v>366</v>
      </c>
      <c r="I31" s="340" t="s">
        <v>43</v>
      </c>
      <c r="J31" s="340" t="s">
        <v>183</v>
      </c>
      <c r="K31" s="340" t="s">
        <v>363</v>
      </c>
      <c r="L31" s="341">
        <v>0</v>
      </c>
      <c r="M31" s="341">
        <v>0</v>
      </c>
      <c r="N31" s="341">
        <v>1475.18</v>
      </c>
    </row>
    <row r="32" spans="1:16" x14ac:dyDescent="0.25">
      <c r="H32" s="340" t="s">
        <v>366</v>
      </c>
      <c r="I32" s="340" t="s">
        <v>43</v>
      </c>
      <c r="J32" s="340" t="s">
        <v>183</v>
      </c>
      <c r="K32" s="340" t="s">
        <v>72</v>
      </c>
      <c r="L32" s="341">
        <v>515.66999999999996</v>
      </c>
      <c r="M32" s="341">
        <v>0</v>
      </c>
      <c r="N32" s="341">
        <v>2110.27</v>
      </c>
    </row>
    <row r="33" spans="8:14" x14ac:dyDescent="0.25">
      <c r="H33" s="340" t="s">
        <v>366</v>
      </c>
      <c r="I33" s="340" t="s">
        <v>45</v>
      </c>
      <c r="J33" s="340" t="s">
        <v>55</v>
      </c>
      <c r="K33" s="340" t="s">
        <v>72</v>
      </c>
      <c r="L33" s="341">
        <v>0</v>
      </c>
      <c r="M33" s="341">
        <v>218.7</v>
      </c>
      <c r="N33" s="341">
        <v>630.09</v>
      </c>
    </row>
    <row r="34" spans="8:14" x14ac:dyDescent="0.25">
      <c r="H34" s="340" t="s">
        <v>366</v>
      </c>
      <c r="I34" s="340" t="s">
        <v>45</v>
      </c>
      <c r="J34" s="340" t="s">
        <v>183</v>
      </c>
      <c r="K34" s="340" t="s">
        <v>363</v>
      </c>
      <c r="L34" s="341">
        <v>303.45999999999998</v>
      </c>
      <c r="M34" s="341">
        <v>0</v>
      </c>
      <c r="N34" s="341">
        <v>1828.55</v>
      </c>
    </row>
    <row r="35" spans="8:14" x14ac:dyDescent="0.25">
      <c r="H35" s="340" t="s">
        <v>366</v>
      </c>
      <c r="I35" s="340" t="s">
        <v>45</v>
      </c>
      <c r="J35" s="340" t="s">
        <v>183</v>
      </c>
      <c r="K35" s="340" t="s">
        <v>364</v>
      </c>
      <c r="L35" s="341">
        <v>229.23</v>
      </c>
      <c r="M35" s="341">
        <v>0</v>
      </c>
      <c r="N35" s="341">
        <v>1575.43</v>
      </c>
    </row>
    <row r="36" spans="8:14" x14ac:dyDescent="0.25">
      <c r="H36" s="340" t="s">
        <v>366</v>
      </c>
      <c r="I36" s="340" t="s">
        <v>45</v>
      </c>
      <c r="J36" s="340" t="s">
        <v>183</v>
      </c>
      <c r="K36" s="340" t="s">
        <v>365</v>
      </c>
      <c r="L36" s="341">
        <v>164.75</v>
      </c>
      <c r="M36" s="341">
        <v>61.37</v>
      </c>
      <c r="N36" s="341">
        <v>6907.41</v>
      </c>
    </row>
    <row r="37" spans="8:14" x14ac:dyDescent="0.25">
      <c r="H37" s="340" t="s">
        <v>366</v>
      </c>
      <c r="I37" s="340" t="s">
        <v>45</v>
      </c>
      <c r="J37" s="340" t="s">
        <v>183</v>
      </c>
      <c r="K37" s="340" t="s">
        <v>72</v>
      </c>
      <c r="L37" s="341">
        <v>121.83</v>
      </c>
      <c r="M37" s="341">
        <v>183.34</v>
      </c>
      <c r="N37" s="341">
        <v>3414.53</v>
      </c>
    </row>
    <row r="38" spans="8:14" x14ac:dyDescent="0.25">
      <c r="H38" s="340" t="s">
        <v>366</v>
      </c>
      <c r="I38" s="340" t="s">
        <v>46</v>
      </c>
      <c r="J38" s="340" t="s">
        <v>52</v>
      </c>
      <c r="K38" s="340" t="s">
        <v>240</v>
      </c>
      <c r="L38" s="341">
        <v>0</v>
      </c>
      <c r="M38" s="341">
        <v>551.77</v>
      </c>
      <c r="N38" s="341">
        <v>3985.24</v>
      </c>
    </row>
    <row r="39" spans="8:14" x14ac:dyDescent="0.25">
      <c r="H39" s="340" t="s">
        <v>366</v>
      </c>
      <c r="I39" s="340" t="s">
        <v>46</v>
      </c>
      <c r="J39" s="340" t="s">
        <v>183</v>
      </c>
      <c r="K39" s="340" t="s">
        <v>363</v>
      </c>
      <c r="L39" s="341">
        <v>0</v>
      </c>
      <c r="M39" s="341">
        <v>0</v>
      </c>
      <c r="N39" s="341">
        <v>1278.97</v>
      </c>
    </row>
    <row r="40" spans="8:14" x14ac:dyDescent="0.25">
      <c r="H40" s="340" t="s">
        <v>366</v>
      </c>
      <c r="I40" s="340" t="s">
        <v>46</v>
      </c>
      <c r="J40" s="340" t="s">
        <v>183</v>
      </c>
      <c r="K40" s="340" t="s">
        <v>365</v>
      </c>
      <c r="L40" s="341">
        <v>0</v>
      </c>
      <c r="M40" s="341">
        <v>0</v>
      </c>
      <c r="N40" s="341">
        <v>1794.23</v>
      </c>
    </row>
    <row r="41" spans="8:14" x14ac:dyDescent="0.25">
      <c r="H41" s="340" t="s">
        <v>366</v>
      </c>
      <c r="I41" s="340" t="s">
        <v>50</v>
      </c>
      <c r="J41" s="340" t="s">
        <v>52</v>
      </c>
      <c r="K41" s="340" t="s">
        <v>178</v>
      </c>
      <c r="L41" s="341">
        <v>8429.2800000000007</v>
      </c>
      <c r="M41" s="341">
        <v>391.38</v>
      </c>
      <c r="N41" s="341">
        <v>3555.94</v>
      </c>
    </row>
    <row r="42" spans="8:14" x14ac:dyDescent="0.25">
      <c r="H42" s="340" t="s">
        <v>366</v>
      </c>
      <c r="I42" s="340" t="s">
        <v>50</v>
      </c>
      <c r="J42" s="340" t="s">
        <v>52</v>
      </c>
      <c r="K42" s="340" t="s">
        <v>240</v>
      </c>
      <c r="L42" s="341">
        <v>0</v>
      </c>
      <c r="M42" s="341">
        <v>0</v>
      </c>
      <c r="N42" s="341">
        <v>210.67</v>
      </c>
    </row>
    <row r="43" spans="8:14" x14ac:dyDescent="0.25">
      <c r="H43" s="340" t="s">
        <v>366</v>
      </c>
      <c r="I43" s="340" t="s">
        <v>50</v>
      </c>
      <c r="J43" s="340" t="s">
        <v>52</v>
      </c>
      <c r="K43" s="340" t="s">
        <v>72</v>
      </c>
      <c r="L43" s="341">
        <v>2119.5</v>
      </c>
      <c r="M43" s="341">
        <v>0</v>
      </c>
      <c r="N43" s="341">
        <v>5.33</v>
      </c>
    </row>
    <row r="44" spans="8:14" x14ac:dyDescent="0.25">
      <c r="H44" s="340" t="s">
        <v>366</v>
      </c>
      <c r="I44" s="340" t="s">
        <v>50</v>
      </c>
      <c r="J44" s="340" t="s">
        <v>55</v>
      </c>
      <c r="K44" s="340" t="s">
        <v>67</v>
      </c>
      <c r="L44" s="341">
        <v>0</v>
      </c>
      <c r="M44" s="341">
        <v>0</v>
      </c>
      <c r="N44" s="341">
        <v>6.97</v>
      </c>
    </row>
    <row r="45" spans="8:14" x14ac:dyDescent="0.25">
      <c r="H45" s="340" t="s">
        <v>366</v>
      </c>
      <c r="I45" s="340" t="s">
        <v>50</v>
      </c>
      <c r="J45" s="340" t="s">
        <v>55</v>
      </c>
      <c r="K45" s="340" t="s">
        <v>72</v>
      </c>
      <c r="L45" s="341">
        <v>212.99</v>
      </c>
      <c r="M45" s="341">
        <v>425.59</v>
      </c>
      <c r="N45" s="341">
        <v>0</v>
      </c>
    </row>
  </sheetData>
  <mergeCells count="13">
    <mergeCell ref="D19:E19"/>
    <mergeCell ref="A4:F4"/>
    <mergeCell ref="H4:N4"/>
    <mergeCell ref="A5:F5"/>
    <mergeCell ref="H5:N5"/>
    <mergeCell ref="D16:E16"/>
    <mergeCell ref="D17:E17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759F-80DD-46C6-9B2E-F22523372A4F}">
  <dimension ref="A1:G23"/>
  <sheetViews>
    <sheetView zoomScale="130" zoomScaleNormal="130" workbookViewId="0">
      <selection activeCell="D8" sqref="D8:D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439</v>
      </c>
      <c r="B8" s="340" t="s">
        <v>38</v>
      </c>
      <c r="C8" s="340" t="s">
        <v>3</v>
      </c>
      <c r="D8" s="342">
        <v>0</v>
      </c>
      <c r="E8" s="342">
        <v>0</v>
      </c>
      <c r="F8" s="342">
        <v>2464.75</v>
      </c>
    </row>
    <row r="9" spans="1:7" x14ac:dyDescent="0.25">
      <c r="A9" s="340" t="s">
        <v>439</v>
      </c>
      <c r="B9" s="340" t="s">
        <v>38</v>
      </c>
      <c r="C9" s="340" t="s">
        <v>323</v>
      </c>
      <c r="D9" s="342">
        <v>4335.3</v>
      </c>
      <c r="E9" s="342">
        <v>2054.5500000000002</v>
      </c>
      <c r="F9" s="342">
        <v>8347.52</v>
      </c>
    </row>
    <row r="10" spans="1:7" x14ac:dyDescent="0.25">
      <c r="A10" s="340" t="s">
        <v>439</v>
      </c>
      <c r="B10" s="340" t="s">
        <v>38</v>
      </c>
      <c r="C10" s="340" t="s">
        <v>41</v>
      </c>
      <c r="D10" s="342">
        <v>44786.41</v>
      </c>
      <c r="E10" s="342">
        <v>84440.19</v>
      </c>
      <c r="F10" s="342">
        <v>1210364.95</v>
      </c>
    </row>
    <row r="11" spans="1:7" x14ac:dyDescent="0.25">
      <c r="A11" s="340" t="s">
        <v>439</v>
      </c>
      <c r="B11" s="340" t="s">
        <v>39</v>
      </c>
      <c r="C11" s="340" t="s">
        <v>41</v>
      </c>
      <c r="D11" s="342">
        <v>5936.73</v>
      </c>
      <c r="E11" s="342">
        <v>17538.099999999999</v>
      </c>
      <c r="F11" s="342">
        <v>105856.92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1339591.55</v>
      </c>
      <c r="E14" s="390"/>
      <c r="F14" s="417"/>
    </row>
    <row r="15" spans="1:7" x14ac:dyDescent="0.25">
      <c r="A15" s="336" t="s">
        <v>39</v>
      </c>
      <c r="B15" s="415">
        <f>SUM(D11:F11)</f>
        <v>129331.75</v>
      </c>
    </row>
    <row r="16" spans="1:7" x14ac:dyDescent="0.25">
      <c r="A16" s="336" t="s">
        <v>2</v>
      </c>
      <c r="B16" s="415">
        <f>SUM(D9:F9)</f>
        <v>14737.37</v>
      </c>
    </row>
    <row r="17" spans="1:6" x14ac:dyDescent="0.25">
      <c r="A17" s="336" t="s">
        <v>3</v>
      </c>
      <c r="B17" s="415">
        <f>SUM(D8:F8)</f>
        <v>2464.75</v>
      </c>
    </row>
    <row r="18" spans="1:6" ht="15.75" thickBot="1" x14ac:dyDescent="0.3">
      <c r="A18" s="361"/>
      <c r="B18" s="416">
        <f>SUM(B14:B17)</f>
        <v>1486125.4200000002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P58"/>
  <sheetViews>
    <sheetView zoomScale="80" zoomScaleNormal="8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40" t="s">
        <v>366</v>
      </c>
      <c r="B8" s="340" t="s">
        <v>38</v>
      </c>
      <c r="C8" s="340" t="s">
        <v>3</v>
      </c>
      <c r="D8" s="342">
        <v>491.13</v>
      </c>
      <c r="E8" s="342">
        <v>0</v>
      </c>
      <c r="F8" s="342">
        <v>43796.85</v>
      </c>
      <c r="H8" s="343" t="s">
        <v>366</v>
      </c>
      <c r="I8" s="343" t="s">
        <v>21</v>
      </c>
      <c r="J8" s="343" t="s">
        <v>52</v>
      </c>
      <c r="K8" s="343" t="s">
        <v>209</v>
      </c>
      <c r="L8" s="344">
        <v>220.48</v>
      </c>
      <c r="M8" s="344">
        <v>6319.02</v>
      </c>
      <c r="N8" s="344">
        <v>31245.73</v>
      </c>
    </row>
    <row r="9" spans="1:16" x14ac:dyDescent="0.25">
      <c r="A9" s="340" t="s">
        <v>366</v>
      </c>
      <c r="B9" s="340" t="s">
        <v>38</v>
      </c>
      <c r="C9" s="340" t="s">
        <v>323</v>
      </c>
      <c r="D9" s="342">
        <v>1.56</v>
      </c>
      <c r="E9" s="342">
        <v>0</v>
      </c>
      <c r="F9" s="342">
        <v>15.27</v>
      </c>
      <c r="G9" s="345"/>
      <c r="H9" s="343" t="s">
        <v>366</v>
      </c>
      <c r="I9" s="343" t="s">
        <v>21</v>
      </c>
      <c r="J9" s="343" t="s">
        <v>52</v>
      </c>
      <c r="K9" s="343" t="s">
        <v>178</v>
      </c>
      <c r="L9" s="344">
        <v>3294.89</v>
      </c>
      <c r="M9" s="344">
        <v>7110.57</v>
      </c>
      <c r="N9" s="344">
        <v>37670.660000000003</v>
      </c>
    </row>
    <row r="10" spans="1:16" x14ac:dyDescent="0.25">
      <c r="A10" s="340" t="s">
        <v>366</v>
      </c>
      <c r="B10" s="340" t="s">
        <v>38</v>
      </c>
      <c r="C10" s="340" t="s">
        <v>41</v>
      </c>
      <c r="D10" s="342">
        <v>108306.03</v>
      </c>
      <c r="E10" s="342">
        <v>122895.98</v>
      </c>
      <c r="F10" s="342">
        <v>645969.03</v>
      </c>
      <c r="G10" s="345"/>
      <c r="H10" s="343" t="s">
        <v>366</v>
      </c>
      <c r="I10" s="343" t="s">
        <v>21</v>
      </c>
      <c r="J10" s="343" t="s">
        <v>52</v>
      </c>
      <c r="K10" s="343" t="s">
        <v>332</v>
      </c>
      <c r="L10" s="344">
        <v>541.96</v>
      </c>
      <c r="M10" s="344">
        <v>2542.7399999999998</v>
      </c>
      <c r="N10" s="344">
        <v>13286.28</v>
      </c>
    </row>
    <row r="11" spans="1:16" x14ac:dyDescent="0.25">
      <c r="A11" s="340" t="s">
        <v>366</v>
      </c>
      <c r="B11" s="340" t="s">
        <v>39</v>
      </c>
      <c r="C11" s="340" t="s">
        <v>41</v>
      </c>
      <c r="D11" s="342">
        <v>20451.43</v>
      </c>
      <c r="E11" s="342">
        <v>35877.279999999999</v>
      </c>
      <c r="F11" s="342">
        <v>140298.92000000001</v>
      </c>
      <c r="H11" s="343" t="s">
        <v>366</v>
      </c>
      <c r="I11" s="343" t="s">
        <v>21</v>
      </c>
      <c r="J11" s="343" t="s">
        <v>52</v>
      </c>
      <c r="K11" s="343" t="s">
        <v>210</v>
      </c>
      <c r="L11" s="344">
        <v>2003.33</v>
      </c>
      <c r="M11" s="344">
        <v>3349.23</v>
      </c>
      <c r="N11" s="344">
        <v>76018.59</v>
      </c>
    </row>
    <row r="12" spans="1:16" x14ac:dyDescent="0.25">
      <c r="H12" s="343" t="s">
        <v>366</v>
      </c>
      <c r="I12" s="343" t="s">
        <v>21</v>
      </c>
      <c r="J12" s="343" t="s">
        <v>52</v>
      </c>
      <c r="K12" s="343" t="s">
        <v>72</v>
      </c>
      <c r="L12" s="344">
        <v>44347.41</v>
      </c>
      <c r="M12" s="344">
        <v>5576.85</v>
      </c>
      <c r="N12" s="344">
        <v>26310.36</v>
      </c>
      <c r="O12" s="346">
        <f>SUM(L8:N12)</f>
        <v>259838.10000000003</v>
      </c>
      <c r="P12" s="347" t="s">
        <v>52</v>
      </c>
    </row>
    <row r="13" spans="1:16" x14ac:dyDescent="0.25">
      <c r="H13" s="348" t="s">
        <v>366</v>
      </c>
      <c r="I13" s="348" t="s">
        <v>21</v>
      </c>
      <c r="J13" s="348" t="s">
        <v>52</v>
      </c>
      <c r="K13" s="348" t="s">
        <v>240</v>
      </c>
      <c r="L13" s="349">
        <v>725.36</v>
      </c>
      <c r="M13" s="349">
        <v>5210.38</v>
      </c>
      <c r="N13" s="349">
        <v>91143.57</v>
      </c>
      <c r="O13" s="350">
        <f>SUM(L13:N13)</f>
        <v>97079.310000000012</v>
      </c>
      <c r="P13" s="351" t="s">
        <v>253</v>
      </c>
    </row>
    <row r="14" spans="1:16" x14ac:dyDescent="0.25">
      <c r="H14" s="352" t="s">
        <v>366</v>
      </c>
      <c r="I14" s="352" t="s">
        <v>21</v>
      </c>
      <c r="J14" s="352" t="s">
        <v>55</v>
      </c>
      <c r="K14" s="352" t="s">
        <v>339</v>
      </c>
      <c r="L14" s="353">
        <v>15.87</v>
      </c>
      <c r="M14" s="353">
        <v>0</v>
      </c>
      <c r="N14" s="353">
        <v>497.95</v>
      </c>
    </row>
    <row r="15" spans="1:16" x14ac:dyDescent="0.25">
      <c r="A15" s="354" t="s">
        <v>79</v>
      </c>
      <c r="B15" s="355" t="s">
        <v>80</v>
      </c>
      <c r="D15" s="356" t="s">
        <v>184</v>
      </c>
      <c r="E15" s="357"/>
      <c r="F15" s="358" t="s">
        <v>185</v>
      </c>
      <c r="H15" s="352" t="s">
        <v>366</v>
      </c>
      <c r="I15" s="352" t="s">
        <v>21</v>
      </c>
      <c r="J15" s="352" t="s">
        <v>55</v>
      </c>
      <c r="K15" s="352" t="s">
        <v>182</v>
      </c>
      <c r="L15" s="353">
        <v>659.04</v>
      </c>
      <c r="M15" s="353">
        <v>763.11</v>
      </c>
      <c r="N15" s="353">
        <v>20725.37</v>
      </c>
    </row>
    <row r="16" spans="1:16" x14ac:dyDescent="0.25">
      <c r="A16" s="336" t="s">
        <v>38</v>
      </c>
      <c r="B16" s="359">
        <f>SUM(D10:F10)</f>
        <v>877171.04</v>
      </c>
      <c r="D16" s="502" t="s">
        <v>81</v>
      </c>
      <c r="E16" s="502"/>
      <c r="F16" s="360">
        <f>O12/B20</f>
        <v>0.23239181761602248</v>
      </c>
      <c r="H16" s="352" t="s">
        <v>366</v>
      </c>
      <c r="I16" s="352" t="s">
        <v>21</v>
      </c>
      <c r="J16" s="352" t="s">
        <v>55</v>
      </c>
      <c r="K16" s="352" t="s">
        <v>54</v>
      </c>
      <c r="L16" s="353">
        <v>606.79</v>
      </c>
      <c r="M16" s="353">
        <v>1239.3399999999999</v>
      </c>
      <c r="N16" s="353">
        <v>6935.66</v>
      </c>
    </row>
    <row r="17" spans="1:16" x14ac:dyDescent="0.25">
      <c r="A17" s="336" t="s">
        <v>39</v>
      </c>
      <c r="B17" s="359">
        <f>SUM(D11:F11)</f>
        <v>196627.63</v>
      </c>
      <c r="D17" s="481" t="s">
        <v>253</v>
      </c>
      <c r="E17" s="481"/>
      <c r="F17" s="360">
        <f>O13/B20</f>
        <v>8.6824977952845661E-2</v>
      </c>
      <c r="H17" s="352" t="s">
        <v>366</v>
      </c>
      <c r="I17" s="352" t="s">
        <v>21</v>
      </c>
      <c r="J17" s="352" t="s">
        <v>55</v>
      </c>
      <c r="K17" s="352" t="s">
        <v>66</v>
      </c>
      <c r="L17" s="353">
        <v>1144.3800000000001</v>
      </c>
      <c r="M17" s="353">
        <v>2302.23</v>
      </c>
      <c r="N17" s="353">
        <v>3674.21</v>
      </c>
    </row>
    <row r="18" spans="1:16" x14ac:dyDescent="0.25">
      <c r="A18" s="336" t="s">
        <v>2</v>
      </c>
      <c r="B18" s="359">
        <f>SUM(D9:F9)</f>
        <v>16.829999999999998</v>
      </c>
      <c r="D18" s="336" t="s">
        <v>78</v>
      </c>
      <c r="F18" s="360">
        <f>O27/B20</f>
        <v>0.10963560367417871</v>
      </c>
      <c r="H18" s="352" t="s">
        <v>366</v>
      </c>
      <c r="I18" s="352" t="s">
        <v>21</v>
      </c>
      <c r="J18" s="352" t="s">
        <v>55</v>
      </c>
      <c r="K18" s="352" t="s">
        <v>67</v>
      </c>
      <c r="L18" s="353">
        <v>238.79</v>
      </c>
      <c r="M18" s="353">
        <v>0</v>
      </c>
      <c r="N18" s="353">
        <v>3613.71</v>
      </c>
    </row>
    <row r="19" spans="1:16" x14ac:dyDescent="0.25">
      <c r="A19" s="336" t="s">
        <v>3</v>
      </c>
      <c r="B19" s="359">
        <f>SUM(D8:F8)</f>
        <v>44287.979999999996</v>
      </c>
      <c r="D19" s="481" t="s">
        <v>42</v>
      </c>
      <c r="E19" s="481"/>
      <c r="F19" s="360">
        <f>O31/B20</f>
        <v>0.46785143714962774</v>
      </c>
      <c r="H19" s="352" t="s">
        <v>366</v>
      </c>
      <c r="I19" s="352" t="s">
        <v>21</v>
      </c>
      <c r="J19" s="352" t="s">
        <v>55</v>
      </c>
      <c r="K19" s="352" t="s">
        <v>68</v>
      </c>
      <c r="L19" s="353">
        <v>247.6</v>
      </c>
      <c r="M19" s="353">
        <v>44.14</v>
      </c>
      <c r="N19" s="353">
        <v>3316.09</v>
      </c>
    </row>
    <row r="20" spans="1:16" ht="15.75" thickBot="1" x14ac:dyDescent="0.3">
      <c r="A20" s="361"/>
      <c r="B20" s="404">
        <f>SUM(B16:B19)</f>
        <v>1118103.48</v>
      </c>
      <c r="F20" s="363">
        <f>SUM(F16:F19)</f>
        <v>0.89670383639267459</v>
      </c>
      <c r="H20" s="352" t="s">
        <v>366</v>
      </c>
      <c r="I20" s="352" t="s">
        <v>21</v>
      </c>
      <c r="J20" s="352" t="s">
        <v>55</v>
      </c>
      <c r="K20" s="352" t="s">
        <v>69</v>
      </c>
      <c r="L20" s="353">
        <v>249.45</v>
      </c>
      <c r="M20" s="353">
        <v>571.19000000000005</v>
      </c>
      <c r="N20" s="353">
        <v>1834.01</v>
      </c>
    </row>
    <row r="21" spans="1:16" x14ac:dyDescent="0.25">
      <c r="E21" s="393" t="s">
        <v>356</v>
      </c>
      <c r="F21" s="394">
        <v>221</v>
      </c>
      <c r="H21" s="352" t="s">
        <v>366</v>
      </c>
      <c r="I21" s="352" t="s">
        <v>21</v>
      </c>
      <c r="J21" s="352" t="s">
        <v>55</v>
      </c>
      <c r="K21" s="352" t="s">
        <v>72</v>
      </c>
      <c r="L21" s="353">
        <v>3803.4</v>
      </c>
      <c r="M21" s="353">
        <v>9468.2099999999991</v>
      </c>
      <c r="N21" s="353">
        <v>50097.88</v>
      </c>
    </row>
    <row r="22" spans="1:16" x14ac:dyDescent="0.25">
      <c r="H22" s="352" t="s">
        <v>366</v>
      </c>
      <c r="I22" s="352" t="s">
        <v>21</v>
      </c>
      <c r="J22" s="352" t="s">
        <v>183</v>
      </c>
      <c r="K22" s="352" t="s">
        <v>360</v>
      </c>
      <c r="L22" s="353">
        <v>149.04</v>
      </c>
      <c r="M22" s="353">
        <v>0</v>
      </c>
      <c r="N22" s="353">
        <v>684.95</v>
      </c>
    </row>
    <row r="23" spans="1:16" x14ac:dyDescent="0.25">
      <c r="H23" s="352" t="s">
        <v>366</v>
      </c>
      <c r="I23" s="352" t="s">
        <v>21</v>
      </c>
      <c r="J23" s="352" t="s">
        <v>183</v>
      </c>
      <c r="K23" s="352" t="s">
        <v>361</v>
      </c>
      <c r="L23" s="353">
        <v>0</v>
      </c>
      <c r="M23" s="353">
        <v>0</v>
      </c>
      <c r="N23" s="353">
        <v>155.58000000000001</v>
      </c>
    </row>
    <row r="24" spans="1:16" x14ac:dyDescent="0.25">
      <c r="H24" s="352" t="s">
        <v>366</v>
      </c>
      <c r="I24" s="352" t="s">
        <v>21</v>
      </c>
      <c r="J24" s="352" t="s">
        <v>183</v>
      </c>
      <c r="K24" s="352" t="s">
        <v>363</v>
      </c>
      <c r="L24" s="353">
        <v>0</v>
      </c>
      <c r="M24" s="353">
        <v>777.75</v>
      </c>
      <c r="N24" s="353">
        <v>2740.82</v>
      </c>
    </row>
    <row r="25" spans="1:16" x14ac:dyDescent="0.25">
      <c r="H25" s="352" t="s">
        <v>366</v>
      </c>
      <c r="I25" s="352" t="s">
        <v>21</v>
      </c>
      <c r="J25" s="352" t="s">
        <v>183</v>
      </c>
      <c r="K25" s="352" t="s">
        <v>364</v>
      </c>
      <c r="L25" s="353">
        <v>0</v>
      </c>
      <c r="M25" s="353">
        <v>460.57</v>
      </c>
      <c r="N25" s="353">
        <v>1796.65</v>
      </c>
    </row>
    <row r="26" spans="1:16" x14ac:dyDescent="0.25">
      <c r="H26" s="352" t="s">
        <v>366</v>
      </c>
      <c r="I26" s="352" t="s">
        <v>21</v>
      </c>
      <c r="J26" s="352" t="s">
        <v>183</v>
      </c>
      <c r="K26" s="352" t="s">
        <v>365</v>
      </c>
      <c r="L26" s="353">
        <v>390.97</v>
      </c>
      <c r="M26" s="353">
        <v>0</v>
      </c>
      <c r="N26" s="353">
        <v>1275.78</v>
      </c>
    </row>
    <row r="27" spans="1:16" x14ac:dyDescent="0.25">
      <c r="H27" s="352" t="s">
        <v>366</v>
      </c>
      <c r="I27" s="352" t="s">
        <v>21</v>
      </c>
      <c r="J27" s="352" t="s">
        <v>183</v>
      </c>
      <c r="K27" s="352" t="s">
        <v>72</v>
      </c>
      <c r="L27" s="353">
        <v>59.03</v>
      </c>
      <c r="M27" s="353">
        <v>415.77</v>
      </c>
      <c r="N27" s="353">
        <v>1628.62</v>
      </c>
      <c r="O27" s="364">
        <f>SUM(L14:N27)</f>
        <v>122583.95</v>
      </c>
      <c r="P27" s="365" t="s">
        <v>110</v>
      </c>
    </row>
    <row r="28" spans="1:16" x14ac:dyDescent="0.25">
      <c r="H28" s="366" t="s">
        <v>366</v>
      </c>
      <c r="I28" s="366" t="s">
        <v>43</v>
      </c>
      <c r="J28" s="366" t="s">
        <v>21</v>
      </c>
      <c r="K28" s="366" t="s">
        <v>21</v>
      </c>
      <c r="L28" s="367">
        <v>15826.9</v>
      </c>
      <c r="M28" s="367">
        <v>39523.64</v>
      </c>
      <c r="N28" s="367">
        <v>132374.17000000001</v>
      </c>
    </row>
    <row r="29" spans="1:16" x14ac:dyDescent="0.25">
      <c r="D29" s="345"/>
      <c r="E29" s="345"/>
      <c r="F29" s="345"/>
      <c r="H29" s="366" t="s">
        <v>366</v>
      </c>
      <c r="I29" s="366" t="s">
        <v>45</v>
      </c>
      <c r="J29" s="366" t="s">
        <v>21</v>
      </c>
      <c r="K29" s="366" t="s">
        <v>21</v>
      </c>
      <c r="L29" s="367">
        <v>22154.75</v>
      </c>
      <c r="M29" s="367">
        <v>37675.550000000003</v>
      </c>
      <c r="N29" s="367">
        <v>161896.65</v>
      </c>
    </row>
    <row r="30" spans="1:16" x14ac:dyDescent="0.25">
      <c r="D30" s="345"/>
      <c r="E30" s="345"/>
      <c r="F30" s="345"/>
      <c r="H30" s="366" t="s">
        <v>366</v>
      </c>
      <c r="I30" s="366" t="s">
        <v>46</v>
      </c>
      <c r="J30" s="366" t="s">
        <v>21</v>
      </c>
      <c r="K30" s="366" t="s">
        <v>21</v>
      </c>
      <c r="L30" s="367">
        <v>13055.31</v>
      </c>
      <c r="M30" s="367">
        <v>11206.28</v>
      </c>
      <c r="N30" s="367">
        <v>50048.07</v>
      </c>
    </row>
    <row r="31" spans="1:16" x14ac:dyDescent="0.25">
      <c r="H31" s="366" t="s">
        <v>366</v>
      </c>
      <c r="I31" s="366" t="s">
        <v>50</v>
      </c>
      <c r="J31" s="366" t="s">
        <v>21</v>
      </c>
      <c r="K31" s="366" t="s">
        <v>21</v>
      </c>
      <c r="L31" s="367">
        <v>7481.57</v>
      </c>
      <c r="M31" s="367">
        <v>7206.85</v>
      </c>
      <c r="N31" s="367">
        <v>24656.58</v>
      </c>
      <c r="O31" s="368">
        <f>SUM(L28:N31)</f>
        <v>523106.32000000007</v>
      </c>
      <c r="P31" s="369" t="s">
        <v>369</v>
      </c>
    </row>
    <row r="32" spans="1:16" x14ac:dyDescent="0.25">
      <c r="H32" s="340" t="s">
        <v>366</v>
      </c>
      <c r="I32" s="340" t="s">
        <v>21</v>
      </c>
      <c r="J32" s="340" t="s">
        <v>21</v>
      </c>
      <c r="K32" s="340" t="s">
        <v>21</v>
      </c>
      <c r="L32" s="341">
        <v>8849.42</v>
      </c>
      <c r="M32" s="341">
        <v>10795.64</v>
      </c>
      <c r="N32" s="341">
        <v>57949.99</v>
      </c>
    </row>
    <row r="33" spans="8:14" x14ac:dyDescent="0.25">
      <c r="H33" s="340" t="s">
        <v>366</v>
      </c>
      <c r="I33" s="340" t="s">
        <v>21</v>
      </c>
      <c r="J33" s="340" t="s">
        <v>367</v>
      </c>
      <c r="K33" s="340" t="s">
        <v>368</v>
      </c>
      <c r="L33" s="341">
        <v>0</v>
      </c>
      <c r="M33" s="341">
        <v>0</v>
      </c>
      <c r="N33" s="341">
        <v>0</v>
      </c>
    </row>
    <row r="34" spans="8:14" x14ac:dyDescent="0.25">
      <c r="H34" s="340" t="s">
        <v>366</v>
      </c>
      <c r="I34" s="340" t="s">
        <v>43</v>
      </c>
      <c r="J34" s="340" t="s">
        <v>52</v>
      </c>
      <c r="K34" s="340" t="s">
        <v>178</v>
      </c>
      <c r="L34" s="341">
        <v>0</v>
      </c>
      <c r="M34" s="341">
        <v>0</v>
      </c>
      <c r="N34" s="341">
        <v>3662.78</v>
      </c>
    </row>
    <row r="35" spans="8:14" x14ac:dyDescent="0.25">
      <c r="H35" s="340" t="s">
        <v>366</v>
      </c>
      <c r="I35" s="340" t="s">
        <v>43</v>
      </c>
      <c r="J35" s="340" t="s">
        <v>52</v>
      </c>
      <c r="K35" s="340" t="s">
        <v>332</v>
      </c>
      <c r="L35" s="341">
        <v>209.1</v>
      </c>
      <c r="M35" s="341">
        <v>0</v>
      </c>
      <c r="N35" s="341">
        <v>151.61000000000001</v>
      </c>
    </row>
    <row r="36" spans="8:14" x14ac:dyDescent="0.25">
      <c r="H36" s="340" t="s">
        <v>366</v>
      </c>
      <c r="I36" s="340" t="s">
        <v>43</v>
      </c>
      <c r="J36" s="340" t="s">
        <v>52</v>
      </c>
      <c r="K36" s="340" t="s">
        <v>210</v>
      </c>
      <c r="L36" s="341">
        <v>0</v>
      </c>
      <c r="M36" s="341">
        <v>276.2</v>
      </c>
      <c r="N36" s="341">
        <v>2283.8000000000002</v>
      </c>
    </row>
    <row r="37" spans="8:14" x14ac:dyDescent="0.25">
      <c r="H37" s="340" t="s">
        <v>366</v>
      </c>
      <c r="I37" s="340" t="s">
        <v>43</v>
      </c>
      <c r="J37" s="340" t="s">
        <v>183</v>
      </c>
      <c r="K37" s="340" t="s">
        <v>363</v>
      </c>
      <c r="L37" s="341">
        <v>0</v>
      </c>
      <c r="M37" s="341">
        <v>354.69</v>
      </c>
      <c r="N37" s="341">
        <v>535.36</v>
      </c>
    </row>
    <row r="38" spans="8:14" x14ac:dyDescent="0.25">
      <c r="H38" s="340" t="s">
        <v>366</v>
      </c>
      <c r="I38" s="340" t="s">
        <v>43</v>
      </c>
      <c r="J38" s="340" t="s">
        <v>183</v>
      </c>
      <c r="K38" s="340" t="s">
        <v>364</v>
      </c>
      <c r="L38" s="341">
        <v>0</v>
      </c>
      <c r="M38" s="341">
        <v>0</v>
      </c>
      <c r="N38" s="341">
        <v>158.97</v>
      </c>
    </row>
    <row r="39" spans="8:14" x14ac:dyDescent="0.25">
      <c r="H39" s="340" t="s">
        <v>366</v>
      </c>
      <c r="I39" s="340" t="s">
        <v>45</v>
      </c>
      <c r="J39" s="340" t="s">
        <v>55</v>
      </c>
      <c r="K39" s="340" t="s">
        <v>339</v>
      </c>
      <c r="L39" s="341">
        <v>0</v>
      </c>
      <c r="M39" s="341">
        <v>0</v>
      </c>
      <c r="N39" s="341">
        <v>155.12</v>
      </c>
    </row>
    <row r="40" spans="8:14" x14ac:dyDescent="0.25">
      <c r="H40" s="340" t="s">
        <v>366</v>
      </c>
      <c r="I40" s="340" t="s">
        <v>45</v>
      </c>
      <c r="J40" s="340" t="s">
        <v>55</v>
      </c>
      <c r="K40" s="340" t="s">
        <v>72</v>
      </c>
      <c r="L40" s="341">
        <v>183.34</v>
      </c>
      <c r="M40" s="341">
        <v>299.86</v>
      </c>
      <c r="N40" s="341">
        <v>984.85</v>
      </c>
    </row>
    <row r="41" spans="8:14" x14ac:dyDescent="0.25">
      <c r="H41" s="340" t="s">
        <v>366</v>
      </c>
      <c r="I41" s="340" t="s">
        <v>45</v>
      </c>
      <c r="J41" s="340" t="s">
        <v>183</v>
      </c>
      <c r="K41" s="340" t="s">
        <v>360</v>
      </c>
      <c r="L41" s="341">
        <v>0</v>
      </c>
      <c r="M41" s="341">
        <v>0</v>
      </c>
      <c r="N41" s="341">
        <v>93.22</v>
      </c>
    </row>
    <row r="42" spans="8:14" x14ac:dyDescent="0.25">
      <c r="H42" s="340" t="s">
        <v>366</v>
      </c>
      <c r="I42" s="340" t="s">
        <v>45</v>
      </c>
      <c r="J42" s="340" t="s">
        <v>183</v>
      </c>
      <c r="K42" s="340" t="s">
        <v>361</v>
      </c>
      <c r="L42" s="341">
        <v>61.37</v>
      </c>
      <c r="M42" s="341">
        <v>356</v>
      </c>
      <c r="N42" s="341">
        <v>2598.83</v>
      </c>
    </row>
    <row r="43" spans="8:14" x14ac:dyDescent="0.25">
      <c r="H43" s="340" t="s">
        <v>366</v>
      </c>
      <c r="I43" s="340" t="s">
        <v>45</v>
      </c>
      <c r="J43" s="340" t="s">
        <v>183</v>
      </c>
      <c r="K43" s="340" t="s">
        <v>362</v>
      </c>
      <c r="L43" s="341">
        <v>0</v>
      </c>
      <c r="M43" s="341">
        <v>0</v>
      </c>
      <c r="N43" s="341">
        <v>1176.3900000000001</v>
      </c>
    </row>
    <row r="44" spans="8:14" x14ac:dyDescent="0.25">
      <c r="H44" s="340" t="s">
        <v>366</v>
      </c>
      <c r="I44" s="340" t="s">
        <v>45</v>
      </c>
      <c r="J44" s="340" t="s">
        <v>183</v>
      </c>
      <c r="K44" s="340" t="s">
        <v>363</v>
      </c>
      <c r="L44" s="341">
        <v>0</v>
      </c>
      <c r="M44" s="341">
        <v>0</v>
      </c>
      <c r="N44" s="341">
        <v>417.61</v>
      </c>
    </row>
    <row r="45" spans="8:14" x14ac:dyDescent="0.25">
      <c r="H45" s="340" t="s">
        <v>366</v>
      </c>
      <c r="I45" s="340" t="s">
        <v>45</v>
      </c>
      <c r="J45" s="340" t="s">
        <v>183</v>
      </c>
      <c r="K45" s="340" t="s">
        <v>364</v>
      </c>
      <c r="L45" s="341">
        <v>62.36</v>
      </c>
      <c r="M45" s="341">
        <v>1191.96</v>
      </c>
      <c r="N45" s="341">
        <v>5043.0200000000004</v>
      </c>
    </row>
    <row r="46" spans="8:14" x14ac:dyDescent="0.25">
      <c r="H46" s="340" t="s">
        <v>366</v>
      </c>
      <c r="I46" s="340" t="s">
        <v>45</v>
      </c>
      <c r="J46" s="340" t="s">
        <v>183</v>
      </c>
      <c r="K46" s="340" t="s">
        <v>365</v>
      </c>
      <c r="L46" s="341">
        <v>253.98</v>
      </c>
      <c r="M46" s="341">
        <v>27.86</v>
      </c>
      <c r="N46" s="341">
        <v>2026.54</v>
      </c>
    </row>
    <row r="47" spans="8:14" x14ac:dyDescent="0.25">
      <c r="H47" s="340" t="s">
        <v>366</v>
      </c>
      <c r="I47" s="340" t="s">
        <v>45</v>
      </c>
      <c r="J47" s="340" t="s">
        <v>183</v>
      </c>
      <c r="K47" s="340" t="s">
        <v>72</v>
      </c>
      <c r="L47" s="341">
        <v>0</v>
      </c>
      <c r="M47" s="341">
        <v>873.51</v>
      </c>
      <c r="N47" s="341">
        <v>935.63</v>
      </c>
    </row>
    <row r="48" spans="8:14" x14ac:dyDescent="0.25">
      <c r="H48" s="340" t="s">
        <v>366</v>
      </c>
      <c r="I48" s="340" t="s">
        <v>46</v>
      </c>
      <c r="J48" s="340" t="s">
        <v>52</v>
      </c>
      <c r="K48" s="340" t="s">
        <v>240</v>
      </c>
      <c r="L48" s="341">
        <v>552.6</v>
      </c>
      <c r="M48" s="341">
        <v>0</v>
      </c>
      <c r="N48" s="341">
        <v>4163.95</v>
      </c>
    </row>
    <row r="49" spans="8:14" x14ac:dyDescent="0.25">
      <c r="H49" s="340" t="s">
        <v>366</v>
      </c>
      <c r="I49" s="340" t="s">
        <v>46</v>
      </c>
      <c r="J49" s="340" t="s">
        <v>55</v>
      </c>
      <c r="K49" s="340" t="s">
        <v>72</v>
      </c>
      <c r="L49" s="341">
        <v>0</v>
      </c>
      <c r="M49" s="341">
        <v>0</v>
      </c>
      <c r="N49" s="341">
        <v>73.78</v>
      </c>
    </row>
    <row r="50" spans="8:14" x14ac:dyDescent="0.25">
      <c r="H50" s="340" t="s">
        <v>366</v>
      </c>
      <c r="I50" s="340" t="s">
        <v>46</v>
      </c>
      <c r="J50" s="340" t="s">
        <v>183</v>
      </c>
      <c r="K50" s="340" t="s">
        <v>360</v>
      </c>
      <c r="L50" s="341">
        <v>184.71</v>
      </c>
      <c r="M50" s="341">
        <v>0</v>
      </c>
      <c r="N50" s="341">
        <v>0</v>
      </c>
    </row>
    <row r="51" spans="8:14" x14ac:dyDescent="0.25">
      <c r="H51" s="340" t="s">
        <v>366</v>
      </c>
      <c r="I51" s="340" t="s">
        <v>46</v>
      </c>
      <c r="J51" s="340" t="s">
        <v>183</v>
      </c>
      <c r="K51" s="340" t="s">
        <v>364</v>
      </c>
      <c r="L51" s="341">
        <v>0</v>
      </c>
      <c r="M51" s="341">
        <v>635.04</v>
      </c>
      <c r="N51" s="341">
        <v>1202.56</v>
      </c>
    </row>
    <row r="52" spans="8:14" x14ac:dyDescent="0.25">
      <c r="H52" s="340" t="s">
        <v>366</v>
      </c>
      <c r="I52" s="340" t="s">
        <v>50</v>
      </c>
      <c r="J52" s="340" t="s">
        <v>52</v>
      </c>
      <c r="K52" s="340" t="s">
        <v>178</v>
      </c>
      <c r="L52" s="341">
        <v>220</v>
      </c>
      <c r="M52" s="341">
        <v>2015.44</v>
      </c>
      <c r="N52" s="341">
        <v>1813.05</v>
      </c>
    </row>
    <row r="53" spans="8:14" x14ac:dyDescent="0.25">
      <c r="H53" s="340" t="s">
        <v>366</v>
      </c>
      <c r="I53" s="340" t="s">
        <v>50</v>
      </c>
      <c r="J53" s="340" t="s">
        <v>52</v>
      </c>
      <c r="K53" s="340" t="s">
        <v>240</v>
      </c>
      <c r="L53" s="341">
        <v>0</v>
      </c>
      <c r="M53" s="341">
        <v>177.43</v>
      </c>
      <c r="N53" s="341">
        <v>806.66</v>
      </c>
    </row>
    <row r="54" spans="8:14" x14ac:dyDescent="0.25">
      <c r="H54" s="340" t="s">
        <v>366</v>
      </c>
      <c r="I54" s="340" t="s">
        <v>50</v>
      </c>
      <c r="J54" s="340" t="s">
        <v>52</v>
      </c>
      <c r="K54" s="340" t="s">
        <v>72</v>
      </c>
      <c r="L54" s="341">
        <v>0</v>
      </c>
      <c r="M54" s="341">
        <v>0</v>
      </c>
      <c r="N54" s="341">
        <v>208.25</v>
      </c>
    </row>
    <row r="55" spans="8:14" x14ac:dyDescent="0.25">
      <c r="H55" s="340" t="s">
        <v>366</v>
      </c>
      <c r="I55" s="340" t="s">
        <v>50</v>
      </c>
      <c r="J55" s="340" t="s">
        <v>55</v>
      </c>
      <c r="K55" s="340" t="s">
        <v>182</v>
      </c>
      <c r="L55" s="341">
        <v>0</v>
      </c>
      <c r="M55" s="341">
        <v>0</v>
      </c>
      <c r="N55" s="341">
        <v>0</v>
      </c>
    </row>
    <row r="56" spans="8:14" x14ac:dyDescent="0.25">
      <c r="H56" s="340" t="s">
        <v>366</v>
      </c>
      <c r="I56" s="340" t="s">
        <v>50</v>
      </c>
      <c r="J56" s="340" t="s">
        <v>55</v>
      </c>
      <c r="K56" s="340" t="s">
        <v>54</v>
      </c>
      <c r="L56" s="341">
        <v>0</v>
      </c>
      <c r="M56" s="341">
        <v>6.21</v>
      </c>
      <c r="N56" s="341">
        <v>0</v>
      </c>
    </row>
    <row r="57" spans="8:14" x14ac:dyDescent="0.25">
      <c r="H57" s="340" t="s">
        <v>366</v>
      </c>
      <c r="I57" s="340" t="s">
        <v>50</v>
      </c>
      <c r="J57" s="340" t="s">
        <v>55</v>
      </c>
      <c r="K57" s="340" t="s">
        <v>72</v>
      </c>
      <c r="L57" s="341">
        <v>236.1</v>
      </c>
      <c r="M57" s="341">
        <v>0</v>
      </c>
      <c r="N57" s="341">
        <v>10.16</v>
      </c>
    </row>
    <row r="58" spans="8:14" x14ac:dyDescent="0.25">
      <c r="H58" s="340" t="s">
        <v>366</v>
      </c>
      <c r="I58" s="340" t="s">
        <v>50</v>
      </c>
      <c r="J58" s="340" t="s">
        <v>183</v>
      </c>
      <c r="K58" s="340" t="s">
        <v>72</v>
      </c>
      <c r="L58" s="341">
        <v>1220.8499999999999</v>
      </c>
      <c r="M58" s="341">
        <v>0</v>
      </c>
      <c r="N58" s="341">
        <v>0</v>
      </c>
    </row>
  </sheetData>
  <mergeCells count="13">
    <mergeCell ref="A1:F1"/>
    <mergeCell ref="H1:N1"/>
    <mergeCell ref="A2:F2"/>
    <mergeCell ref="H2:N2"/>
    <mergeCell ref="A3:F3"/>
    <mergeCell ref="H3:N3"/>
    <mergeCell ref="D19:E19"/>
    <mergeCell ref="A4:F4"/>
    <mergeCell ref="H4:N4"/>
    <mergeCell ref="A5:F5"/>
    <mergeCell ref="H5:N5"/>
    <mergeCell ref="D16:E16"/>
    <mergeCell ref="D17:E17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P49"/>
  <sheetViews>
    <sheetView zoomScale="80" zoomScaleNormal="8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39" t="s">
        <v>32</v>
      </c>
      <c r="B8" s="339" t="s">
        <v>33</v>
      </c>
      <c r="C8" s="339" t="s">
        <v>40</v>
      </c>
      <c r="D8" s="339" t="s">
        <v>34</v>
      </c>
      <c r="E8" s="339" t="s">
        <v>35</v>
      </c>
      <c r="F8" s="339" t="s">
        <v>103</v>
      </c>
      <c r="H8" s="343" t="s">
        <v>338</v>
      </c>
      <c r="I8" s="343" t="s">
        <v>21</v>
      </c>
      <c r="J8" s="343" t="s">
        <v>52</v>
      </c>
      <c r="K8" s="343" t="s">
        <v>209</v>
      </c>
      <c r="L8" s="344">
        <v>6446.22</v>
      </c>
      <c r="M8" s="344">
        <v>2243.8200000000002</v>
      </c>
      <c r="N8" s="344">
        <v>28941.84</v>
      </c>
    </row>
    <row r="9" spans="1:16" x14ac:dyDescent="0.25">
      <c r="A9" s="340" t="s">
        <v>338</v>
      </c>
      <c r="B9" s="340" t="s">
        <v>38</v>
      </c>
      <c r="C9" s="340" t="s">
        <v>3</v>
      </c>
      <c r="D9" s="342">
        <v>0</v>
      </c>
      <c r="E9" s="342">
        <v>0</v>
      </c>
      <c r="F9" s="342">
        <v>43920.49</v>
      </c>
      <c r="H9" s="343" t="s">
        <v>338</v>
      </c>
      <c r="I9" s="343" t="s">
        <v>21</v>
      </c>
      <c r="J9" s="343" t="s">
        <v>52</v>
      </c>
      <c r="K9" s="343" t="s">
        <v>178</v>
      </c>
      <c r="L9" s="344">
        <v>24786.03</v>
      </c>
      <c r="M9" s="344">
        <v>11391.43</v>
      </c>
      <c r="N9" s="344">
        <v>42974.54</v>
      </c>
    </row>
    <row r="10" spans="1:16" x14ac:dyDescent="0.25">
      <c r="A10" s="340" t="s">
        <v>338</v>
      </c>
      <c r="B10" s="340" t="s">
        <v>38</v>
      </c>
      <c r="C10" s="340" t="s">
        <v>323</v>
      </c>
      <c r="D10" s="342">
        <v>1.69</v>
      </c>
      <c r="E10" s="342">
        <v>1.7</v>
      </c>
      <c r="F10" s="342">
        <v>15.94</v>
      </c>
      <c r="G10" s="345"/>
      <c r="H10" s="343" t="s">
        <v>338</v>
      </c>
      <c r="I10" s="343" t="s">
        <v>21</v>
      </c>
      <c r="J10" s="343" t="s">
        <v>52</v>
      </c>
      <c r="K10" s="343" t="s">
        <v>332</v>
      </c>
      <c r="L10" s="344">
        <v>2761.35</v>
      </c>
      <c r="M10" s="344">
        <v>1276.5</v>
      </c>
      <c r="N10" s="344">
        <v>15102.73</v>
      </c>
    </row>
    <row r="11" spans="1:16" x14ac:dyDescent="0.25">
      <c r="A11" s="340" t="s">
        <v>338</v>
      </c>
      <c r="B11" s="340" t="s">
        <v>38</v>
      </c>
      <c r="C11" s="340" t="s">
        <v>41</v>
      </c>
      <c r="D11" s="342">
        <v>223427.99</v>
      </c>
      <c r="E11" s="342">
        <v>112952</v>
      </c>
      <c r="F11" s="342">
        <v>566667.99</v>
      </c>
      <c r="G11" s="345"/>
      <c r="H11" s="343" t="s">
        <v>338</v>
      </c>
      <c r="I11" s="343" t="s">
        <v>21</v>
      </c>
      <c r="J11" s="343" t="s">
        <v>52</v>
      </c>
      <c r="K11" s="343" t="s">
        <v>210</v>
      </c>
      <c r="L11" s="344">
        <v>1242.18</v>
      </c>
      <c r="M11" s="344">
        <v>3014.73</v>
      </c>
      <c r="N11" s="344">
        <v>69494.850000000006</v>
      </c>
    </row>
    <row r="12" spans="1:16" x14ac:dyDescent="0.25">
      <c r="A12" s="340" t="s">
        <v>338</v>
      </c>
      <c r="B12" s="340" t="s">
        <v>39</v>
      </c>
      <c r="C12" s="340" t="s">
        <v>41</v>
      </c>
      <c r="D12" s="342">
        <v>42697.21</v>
      </c>
      <c r="E12" s="342">
        <v>33545.519999999997</v>
      </c>
      <c r="F12" s="342">
        <v>135696.12</v>
      </c>
      <c r="H12" s="343" t="s">
        <v>338</v>
      </c>
      <c r="I12" s="343" t="s">
        <v>21</v>
      </c>
      <c r="J12" s="343" t="s">
        <v>52</v>
      </c>
      <c r="K12" s="343" t="s">
        <v>72</v>
      </c>
      <c r="L12" s="344">
        <v>14658.71</v>
      </c>
      <c r="M12" s="344">
        <v>7735.53</v>
      </c>
      <c r="N12" s="344">
        <v>16260.34</v>
      </c>
      <c r="O12" s="346">
        <f>SUM(L8:N12)</f>
        <v>248330.80000000002</v>
      </c>
      <c r="P12" s="347" t="s">
        <v>52</v>
      </c>
    </row>
    <row r="13" spans="1:16" x14ac:dyDescent="0.25">
      <c r="H13" s="348" t="s">
        <v>338</v>
      </c>
      <c r="I13" s="348" t="s">
        <v>21</v>
      </c>
      <c r="J13" s="348" t="s">
        <v>52</v>
      </c>
      <c r="K13" s="348" t="s">
        <v>240</v>
      </c>
      <c r="L13" s="349">
        <v>5131.55</v>
      </c>
      <c r="M13" s="349">
        <v>783.08</v>
      </c>
      <c r="N13" s="349">
        <v>78028.55</v>
      </c>
      <c r="O13" s="350">
        <f>SUM(L13:N13)</f>
        <v>83943.180000000008</v>
      </c>
      <c r="P13" s="351" t="s">
        <v>254</v>
      </c>
    </row>
    <row r="14" spans="1:16" x14ac:dyDescent="0.25">
      <c r="H14" s="352" t="s">
        <v>338</v>
      </c>
      <c r="I14" s="352" t="s">
        <v>21</v>
      </c>
      <c r="J14" s="352" t="s">
        <v>55</v>
      </c>
      <c r="K14" s="352" t="s">
        <v>182</v>
      </c>
      <c r="L14" s="353">
        <v>1334.27</v>
      </c>
      <c r="M14" s="353">
        <v>729.43</v>
      </c>
      <c r="N14" s="353">
        <v>4001.87</v>
      </c>
    </row>
    <row r="15" spans="1:16" x14ac:dyDescent="0.25">
      <c r="H15" s="352" t="s">
        <v>338</v>
      </c>
      <c r="I15" s="352" t="s">
        <v>21</v>
      </c>
      <c r="J15" s="352" t="s">
        <v>55</v>
      </c>
      <c r="K15" s="352" t="s">
        <v>54</v>
      </c>
      <c r="L15" s="353">
        <v>4199.79</v>
      </c>
      <c r="M15" s="353">
        <v>394.84</v>
      </c>
      <c r="N15" s="353">
        <v>2689.68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338</v>
      </c>
      <c r="I16" s="352" t="s">
        <v>21</v>
      </c>
      <c r="J16" s="352" t="s">
        <v>55</v>
      </c>
      <c r="K16" s="352" t="s">
        <v>66</v>
      </c>
      <c r="L16" s="353">
        <v>153.09</v>
      </c>
      <c r="M16" s="353">
        <v>737.38</v>
      </c>
      <c r="N16" s="353">
        <v>12334.53</v>
      </c>
    </row>
    <row r="17" spans="1:16" x14ac:dyDescent="0.25">
      <c r="A17" s="336" t="s">
        <v>38</v>
      </c>
      <c r="B17" s="359">
        <f>SUM(D11:F11)</f>
        <v>903047.98</v>
      </c>
      <c r="D17" s="502" t="s">
        <v>81</v>
      </c>
      <c r="E17" s="502"/>
      <c r="F17" s="360">
        <f>O12/B21</f>
        <v>0.21427654631982102</v>
      </c>
      <c r="H17" s="352" t="s">
        <v>338</v>
      </c>
      <c r="I17" s="352" t="s">
        <v>21</v>
      </c>
      <c r="J17" s="352" t="s">
        <v>55</v>
      </c>
      <c r="K17" s="352" t="s">
        <v>67</v>
      </c>
      <c r="L17" s="353">
        <v>2446.3200000000002</v>
      </c>
      <c r="M17" s="353">
        <v>426.22</v>
      </c>
      <c r="N17" s="353">
        <v>10822.95</v>
      </c>
    </row>
    <row r="18" spans="1:16" x14ac:dyDescent="0.25">
      <c r="A18" s="336" t="s">
        <v>39</v>
      </c>
      <c r="B18" s="359">
        <f>SUM(D12:F12)</f>
        <v>211938.84999999998</v>
      </c>
      <c r="D18" s="481" t="s">
        <v>253</v>
      </c>
      <c r="E18" s="481"/>
      <c r="F18" s="360">
        <f>O13/B21</f>
        <v>7.2431831643529815E-2</v>
      </c>
      <c r="H18" s="352" t="s">
        <v>338</v>
      </c>
      <c r="I18" s="352" t="s">
        <v>21</v>
      </c>
      <c r="J18" s="352" t="s">
        <v>55</v>
      </c>
      <c r="K18" s="352" t="s">
        <v>68</v>
      </c>
      <c r="L18" s="353">
        <v>300.52999999999997</v>
      </c>
      <c r="M18" s="353">
        <v>199.79</v>
      </c>
      <c r="N18" s="353">
        <v>1981.51</v>
      </c>
    </row>
    <row r="19" spans="1:16" x14ac:dyDescent="0.25">
      <c r="A19" s="336" t="s">
        <v>2</v>
      </c>
      <c r="B19" s="359">
        <f>SUM(D10:F10)</f>
        <v>19.329999999999998</v>
      </c>
      <c r="D19" s="336" t="s">
        <v>78</v>
      </c>
      <c r="F19" s="360">
        <f>O27/B21</f>
        <v>9.2113016816034038E-2</v>
      </c>
      <c r="H19" s="352" t="s">
        <v>338</v>
      </c>
      <c r="I19" s="352" t="s">
        <v>21</v>
      </c>
      <c r="J19" s="352" t="s">
        <v>55</v>
      </c>
      <c r="K19" s="352" t="s">
        <v>337</v>
      </c>
      <c r="L19" s="353">
        <v>275.27</v>
      </c>
      <c r="M19" s="353">
        <v>62.08</v>
      </c>
      <c r="N19" s="353">
        <v>883.63</v>
      </c>
    </row>
    <row r="20" spans="1:16" x14ac:dyDescent="0.25">
      <c r="A20" s="336" t="s">
        <v>3</v>
      </c>
      <c r="B20" s="359">
        <f>SUM(D9:F9)</f>
        <v>43920.49</v>
      </c>
      <c r="D20" s="481" t="s">
        <v>42</v>
      </c>
      <c r="E20" s="481"/>
      <c r="F20" s="360">
        <f>O32/B21</f>
        <v>0.50494379432900272</v>
      </c>
      <c r="H20" s="352" t="s">
        <v>338</v>
      </c>
      <c r="I20" s="352" t="s">
        <v>21</v>
      </c>
      <c r="J20" s="352" t="s">
        <v>55</v>
      </c>
      <c r="K20" s="352" t="s">
        <v>72</v>
      </c>
      <c r="L20" s="353">
        <v>8242.75</v>
      </c>
      <c r="M20" s="353">
        <v>4613.04</v>
      </c>
      <c r="N20" s="353">
        <v>31044.27</v>
      </c>
    </row>
    <row r="21" spans="1:16" ht="15.75" thickBot="1" x14ac:dyDescent="0.3">
      <c r="A21" s="361"/>
      <c r="B21" s="404">
        <f>SUM(B17:B20)</f>
        <v>1158926.6500000001</v>
      </c>
      <c r="F21" s="363">
        <f>SUM(F17:F20)</f>
        <v>0.88376518910838753</v>
      </c>
      <c r="H21" s="352" t="s">
        <v>338</v>
      </c>
      <c r="I21" s="352" t="s">
        <v>21</v>
      </c>
      <c r="J21" s="352" t="s">
        <v>183</v>
      </c>
      <c r="K21" s="352" t="s">
        <v>360</v>
      </c>
      <c r="L21" s="353">
        <v>2180.9499999999998</v>
      </c>
      <c r="M21" s="353">
        <v>47.82</v>
      </c>
      <c r="N21" s="353">
        <v>3022.11</v>
      </c>
    </row>
    <row r="22" spans="1:16" x14ac:dyDescent="0.25">
      <c r="E22" s="393" t="s">
        <v>356</v>
      </c>
      <c r="F22" s="394">
        <v>214</v>
      </c>
      <c r="H22" s="352" t="s">
        <v>338</v>
      </c>
      <c r="I22" s="352" t="s">
        <v>21</v>
      </c>
      <c r="J22" s="352" t="s">
        <v>183</v>
      </c>
      <c r="K22" s="352" t="s">
        <v>361</v>
      </c>
      <c r="L22" s="353">
        <v>135.08000000000001</v>
      </c>
      <c r="M22" s="353">
        <v>0</v>
      </c>
      <c r="N22" s="353">
        <v>310.74</v>
      </c>
    </row>
    <row r="23" spans="1:16" x14ac:dyDescent="0.25">
      <c r="H23" s="352" t="s">
        <v>338</v>
      </c>
      <c r="I23" s="352" t="s">
        <v>21</v>
      </c>
      <c r="J23" s="352" t="s">
        <v>183</v>
      </c>
      <c r="K23" s="352" t="s">
        <v>362</v>
      </c>
      <c r="L23" s="353">
        <v>305.68</v>
      </c>
      <c r="M23" s="353">
        <v>0</v>
      </c>
      <c r="N23" s="353">
        <v>644.63</v>
      </c>
    </row>
    <row r="24" spans="1:16" x14ac:dyDescent="0.25">
      <c r="H24" s="352" t="s">
        <v>338</v>
      </c>
      <c r="I24" s="352" t="s">
        <v>21</v>
      </c>
      <c r="J24" s="352" t="s">
        <v>183</v>
      </c>
      <c r="K24" s="352" t="s">
        <v>363</v>
      </c>
      <c r="L24" s="353">
        <v>739.7</v>
      </c>
      <c r="M24" s="353">
        <v>856.96</v>
      </c>
      <c r="N24" s="353">
        <v>3792.09</v>
      </c>
    </row>
    <row r="25" spans="1:16" x14ac:dyDescent="0.25">
      <c r="H25" s="352" t="s">
        <v>338</v>
      </c>
      <c r="I25" s="352" t="s">
        <v>21</v>
      </c>
      <c r="J25" s="352" t="s">
        <v>183</v>
      </c>
      <c r="K25" s="352" t="s">
        <v>364</v>
      </c>
      <c r="L25" s="353">
        <v>4.3499999999999996</v>
      </c>
      <c r="M25" s="353">
        <v>90.43</v>
      </c>
      <c r="N25" s="353">
        <v>712.01</v>
      </c>
    </row>
    <row r="26" spans="1:16" x14ac:dyDescent="0.25">
      <c r="H26" s="352" t="s">
        <v>338</v>
      </c>
      <c r="I26" s="352" t="s">
        <v>21</v>
      </c>
      <c r="J26" s="352" t="s">
        <v>183</v>
      </c>
      <c r="K26" s="352" t="s">
        <v>365</v>
      </c>
      <c r="L26" s="353">
        <v>792.32</v>
      </c>
      <c r="M26" s="353">
        <v>398.28</v>
      </c>
      <c r="N26" s="353">
        <v>2220.12</v>
      </c>
    </row>
    <row r="27" spans="1:16" x14ac:dyDescent="0.25">
      <c r="H27" s="352" t="s">
        <v>338</v>
      </c>
      <c r="I27" s="352" t="s">
        <v>21</v>
      </c>
      <c r="J27" s="352" t="s">
        <v>183</v>
      </c>
      <c r="K27" s="352" t="s">
        <v>72</v>
      </c>
      <c r="L27" s="353">
        <v>293.48</v>
      </c>
      <c r="M27" s="353">
        <v>0</v>
      </c>
      <c r="N27" s="353">
        <v>2332.2399999999998</v>
      </c>
      <c r="O27" s="364">
        <f>SUM(L14:N27)</f>
        <v>106752.23000000001</v>
      </c>
      <c r="P27" s="365" t="s">
        <v>85</v>
      </c>
    </row>
    <row r="28" spans="1:16" x14ac:dyDescent="0.25">
      <c r="H28" s="366" t="s">
        <v>338</v>
      </c>
      <c r="I28" s="366" t="s">
        <v>43</v>
      </c>
      <c r="J28" s="366" t="s">
        <v>21</v>
      </c>
      <c r="K28" s="366" t="s">
        <v>21</v>
      </c>
      <c r="L28" s="367">
        <v>73483.72</v>
      </c>
      <c r="M28" s="367">
        <v>41429.910000000003</v>
      </c>
      <c r="N28" s="367">
        <v>107919.72</v>
      </c>
    </row>
    <row r="29" spans="1:16" x14ac:dyDescent="0.25">
      <c r="H29" s="366" t="s">
        <v>338</v>
      </c>
      <c r="I29" s="366" t="s">
        <v>45</v>
      </c>
      <c r="J29" s="366" t="s">
        <v>21</v>
      </c>
      <c r="K29" s="366" t="s">
        <v>21</v>
      </c>
      <c r="L29" s="367">
        <v>43859.89</v>
      </c>
      <c r="M29" s="367">
        <v>30697.78</v>
      </c>
      <c r="N29" s="367">
        <v>157312.65</v>
      </c>
    </row>
    <row r="30" spans="1:16" x14ac:dyDescent="0.25">
      <c r="D30" s="345"/>
      <c r="E30" s="345"/>
      <c r="F30" s="345"/>
      <c r="H30" s="366" t="s">
        <v>338</v>
      </c>
      <c r="I30" s="366" t="s">
        <v>46</v>
      </c>
      <c r="J30" s="366" t="s">
        <v>21</v>
      </c>
      <c r="K30" s="366" t="s">
        <v>21</v>
      </c>
      <c r="L30" s="367">
        <v>18790.09</v>
      </c>
      <c r="M30" s="367">
        <v>11279.38</v>
      </c>
      <c r="N30" s="367">
        <v>47344</v>
      </c>
    </row>
    <row r="31" spans="1:16" x14ac:dyDescent="0.25">
      <c r="D31" s="345"/>
      <c r="E31" s="345"/>
      <c r="F31" s="345"/>
      <c r="H31" s="366" t="s">
        <v>338</v>
      </c>
      <c r="I31" s="366" t="s">
        <v>47</v>
      </c>
      <c r="J31" s="366" t="s">
        <v>21</v>
      </c>
      <c r="K31" s="366" t="s">
        <v>21</v>
      </c>
      <c r="L31" s="367">
        <v>0</v>
      </c>
      <c r="M31" s="367">
        <v>0</v>
      </c>
      <c r="N31" s="367">
        <v>0</v>
      </c>
    </row>
    <row r="32" spans="1:16" x14ac:dyDescent="0.25">
      <c r="H32" s="366" t="s">
        <v>338</v>
      </c>
      <c r="I32" s="366" t="s">
        <v>50</v>
      </c>
      <c r="J32" s="366" t="s">
        <v>21</v>
      </c>
      <c r="K32" s="366" t="s">
        <v>21</v>
      </c>
      <c r="L32" s="367">
        <v>26817.89</v>
      </c>
      <c r="M32" s="367">
        <v>6520.78</v>
      </c>
      <c r="N32" s="367">
        <v>19737.009999999998</v>
      </c>
      <c r="O32" s="368">
        <f>SUM(L28:N32)</f>
        <v>585192.82000000018</v>
      </c>
      <c r="P32" s="369" t="s">
        <v>84</v>
      </c>
    </row>
    <row r="33" spans="8:14" x14ac:dyDescent="0.25">
      <c r="H33" s="340" t="s">
        <v>338</v>
      </c>
      <c r="I33" s="340" t="s">
        <v>21</v>
      </c>
      <c r="J33" s="340" t="s">
        <v>21</v>
      </c>
      <c r="K33" s="340" t="s">
        <v>21</v>
      </c>
      <c r="L33" s="341">
        <v>21698.82</v>
      </c>
      <c r="M33" s="341">
        <v>18047.5</v>
      </c>
      <c r="N33" s="341">
        <v>61160.37</v>
      </c>
    </row>
    <row r="34" spans="8:14" x14ac:dyDescent="0.25">
      <c r="H34" s="340" t="s">
        <v>338</v>
      </c>
      <c r="I34" s="340" t="s">
        <v>43</v>
      </c>
      <c r="J34" s="340" t="s">
        <v>52</v>
      </c>
      <c r="K34" s="340" t="s">
        <v>210</v>
      </c>
      <c r="L34" s="341">
        <v>276.2</v>
      </c>
      <c r="M34" s="341">
        <v>0</v>
      </c>
      <c r="N34" s="341">
        <v>2283.8000000000002</v>
      </c>
    </row>
    <row r="35" spans="8:14" x14ac:dyDescent="0.25">
      <c r="H35" s="340" t="s">
        <v>338</v>
      </c>
      <c r="I35" s="340" t="s">
        <v>43</v>
      </c>
      <c r="J35" s="340" t="s">
        <v>52</v>
      </c>
      <c r="K35" s="340" t="s">
        <v>72</v>
      </c>
      <c r="L35" s="341">
        <v>0</v>
      </c>
      <c r="M35" s="341">
        <v>236.7</v>
      </c>
      <c r="N35" s="341">
        <v>1578.9</v>
      </c>
    </row>
    <row r="36" spans="8:14" x14ac:dyDescent="0.25">
      <c r="H36" s="340" t="s">
        <v>338</v>
      </c>
      <c r="I36" s="340" t="s">
        <v>43</v>
      </c>
      <c r="J36" s="340" t="s">
        <v>55</v>
      </c>
      <c r="K36" s="340" t="s">
        <v>54</v>
      </c>
      <c r="L36" s="341">
        <v>267.95</v>
      </c>
      <c r="M36" s="341">
        <v>0</v>
      </c>
      <c r="N36" s="341">
        <v>167.79</v>
      </c>
    </row>
    <row r="37" spans="8:14" x14ac:dyDescent="0.25">
      <c r="H37" s="340" t="s">
        <v>338</v>
      </c>
      <c r="I37" s="340" t="s">
        <v>43</v>
      </c>
      <c r="J37" s="340" t="s">
        <v>55</v>
      </c>
      <c r="K37" s="340" t="s">
        <v>72</v>
      </c>
      <c r="L37" s="341">
        <v>464.59</v>
      </c>
      <c r="M37" s="341">
        <v>0</v>
      </c>
      <c r="N37" s="341">
        <v>341.68</v>
      </c>
    </row>
    <row r="38" spans="8:14" x14ac:dyDescent="0.25">
      <c r="H38" s="340" t="s">
        <v>338</v>
      </c>
      <c r="I38" s="340" t="s">
        <v>43</v>
      </c>
      <c r="J38" s="340" t="s">
        <v>183</v>
      </c>
      <c r="K38" s="340" t="s">
        <v>72</v>
      </c>
      <c r="L38" s="341">
        <v>0</v>
      </c>
      <c r="M38" s="341">
        <v>0</v>
      </c>
      <c r="N38" s="341">
        <v>1857.83</v>
      </c>
    </row>
    <row r="39" spans="8:14" x14ac:dyDescent="0.25">
      <c r="H39" s="340" t="s">
        <v>338</v>
      </c>
      <c r="I39" s="340" t="s">
        <v>45</v>
      </c>
      <c r="J39" s="340" t="s">
        <v>55</v>
      </c>
      <c r="K39" s="340" t="s">
        <v>72</v>
      </c>
      <c r="L39" s="341">
        <v>163.4</v>
      </c>
      <c r="M39" s="341">
        <v>545.84</v>
      </c>
      <c r="N39" s="341">
        <v>2575.91</v>
      </c>
    </row>
    <row r="40" spans="8:14" x14ac:dyDescent="0.25">
      <c r="H40" s="340" t="s">
        <v>338</v>
      </c>
      <c r="I40" s="340" t="s">
        <v>45</v>
      </c>
      <c r="J40" s="340" t="s">
        <v>183</v>
      </c>
      <c r="K40" s="340" t="s">
        <v>360</v>
      </c>
      <c r="L40" s="341">
        <v>853.91</v>
      </c>
      <c r="M40" s="341">
        <v>0</v>
      </c>
      <c r="N40" s="341">
        <v>1825.83</v>
      </c>
    </row>
    <row r="41" spans="8:14" x14ac:dyDescent="0.25">
      <c r="H41" s="340" t="s">
        <v>338</v>
      </c>
      <c r="I41" s="340" t="s">
        <v>45</v>
      </c>
      <c r="J41" s="340" t="s">
        <v>183</v>
      </c>
      <c r="K41" s="340" t="s">
        <v>361</v>
      </c>
      <c r="L41" s="341">
        <v>1006.57</v>
      </c>
      <c r="M41" s="341">
        <v>356</v>
      </c>
      <c r="N41" s="341">
        <v>2675.01</v>
      </c>
    </row>
    <row r="42" spans="8:14" x14ac:dyDescent="0.25">
      <c r="H42" s="340" t="s">
        <v>338</v>
      </c>
      <c r="I42" s="340" t="s">
        <v>45</v>
      </c>
      <c r="J42" s="340" t="s">
        <v>183</v>
      </c>
      <c r="K42" s="340" t="s">
        <v>362</v>
      </c>
      <c r="L42" s="341">
        <v>775.11</v>
      </c>
      <c r="M42" s="341">
        <v>0</v>
      </c>
      <c r="N42" s="341">
        <v>685.9</v>
      </c>
    </row>
    <row r="43" spans="8:14" x14ac:dyDescent="0.25">
      <c r="H43" s="340" t="s">
        <v>338</v>
      </c>
      <c r="I43" s="340" t="s">
        <v>45</v>
      </c>
      <c r="J43" s="340" t="s">
        <v>183</v>
      </c>
      <c r="K43" s="340" t="s">
        <v>363</v>
      </c>
      <c r="L43" s="341">
        <v>76.22</v>
      </c>
      <c r="M43" s="341">
        <v>383.51</v>
      </c>
      <c r="N43" s="341">
        <v>4003.69</v>
      </c>
    </row>
    <row r="44" spans="8:14" x14ac:dyDescent="0.25">
      <c r="H44" s="340" t="s">
        <v>338</v>
      </c>
      <c r="I44" s="340" t="s">
        <v>45</v>
      </c>
      <c r="J44" s="340" t="s">
        <v>183</v>
      </c>
      <c r="K44" s="340" t="s">
        <v>364</v>
      </c>
      <c r="L44" s="341">
        <v>229.87</v>
      </c>
      <c r="M44" s="341">
        <v>0</v>
      </c>
      <c r="N44" s="341">
        <v>1835.17</v>
      </c>
    </row>
    <row r="45" spans="8:14" x14ac:dyDescent="0.25">
      <c r="H45" s="340" t="s">
        <v>338</v>
      </c>
      <c r="I45" s="340" t="s">
        <v>46</v>
      </c>
      <c r="J45" s="340" t="s">
        <v>52</v>
      </c>
      <c r="K45" s="340" t="s">
        <v>240</v>
      </c>
      <c r="L45" s="341">
        <v>0</v>
      </c>
      <c r="M45" s="341">
        <v>595.57000000000005</v>
      </c>
      <c r="N45" s="341">
        <v>3747.04</v>
      </c>
    </row>
    <row r="46" spans="8:14" x14ac:dyDescent="0.25">
      <c r="H46" s="340" t="s">
        <v>338</v>
      </c>
      <c r="I46" s="340" t="s">
        <v>46</v>
      </c>
      <c r="J46" s="340" t="s">
        <v>55</v>
      </c>
      <c r="K46" s="340" t="s">
        <v>337</v>
      </c>
      <c r="L46" s="341">
        <v>0</v>
      </c>
      <c r="M46" s="341">
        <v>198.77</v>
      </c>
      <c r="N46" s="341">
        <v>0</v>
      </c>
    </row>
    <row r="47" spans="8:14" x14ac:dyDescent="0.25">
      <c r="H47" s="340" t="s">
        <v>338</v>
      </c>
      <c r="I47" s="340" t="s">
        <v>50</v>
      </c>
      <c r="J47" s="340" t="s">
        <v>52</v>
      </c>
      <c r="K47" s="340" t="s">
        <v>178</v>
      </c>
      <c r="L47" s="341">
        <v>933.04</v>
      </c>
      <c r="M47" s="341">
        <v>0</v>
      </c>
      <c r="N47" s="341">
        <v>6.1</v>
      </c>
    </row>
    <row r="48" spans="8:14" x14ac:dyDescent="0.25">
      <c r="H48" s="340" t="s">
        <v>338</v>
      </c>
      <c r="I48" s="340" t="s">
        <v>50</v>
      </c>
      <c r="J48" s="340" t="s">
        <v>52</v>
      </c>
      <c r="K48" s="340" t="s">
        <v>332</v>
      </c>
      <c r="L48" s="341">
        <v>0</v>
      </c>
      <c r="M48" s="341">
        <v>493.48</v>
      </c>
      <c r="N48" s="341">
        <v>1275.79</v>
      </c>
    </row>
    <row r="49" spans="8:14" x14ac:dyDescent="0.25">
      <c r="H49" s="340" t="s">
        <v>338</v>
      </c>
      <c r="I49" s="340" t="s">
        <v>50</v>
      </c>
      <c r="J49" s="340" t="s">
        <v>55</v>
      </c>
      <c r="K49" s="340" t="s">
        <v>54</v>
      </c>
      <c r="L49" s="341">
        <v>0</v>
      </c>
      <c r="M49" s="341">
        <v>712.64</v>
      </c>
      <c r="N49" s="341">
        <v>371.12</v>
      </c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P44"/>
  <sheetViews>
    <sheetView zoomScale="80" zoomScaleNormal="80" workbookViewId="0">
      <selection sqref="A1:F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39" t="s">
        <v>32</v>
      </c>
      <c r="B8" s="339" t="s">
        <v>33</v>
      </c>
      <c r="C8" s="339" t="s">
        <v>40</v>
      </c>
      <c r="D8" s="339" t="s">
        <v>34</v>
      </c>
      <c r="E8" s="339" t="s">
        <v>35</v>
      </c>
      <c r="F8" s="339" t="s">
        <v>103</v>
      </c>
      <c r="H8" s="343" t="s">
        <v>338</v>
      </c>
      <c r="I8" s="343" t="s">
        <v>21</v>
      </c>
      <c r="J8" s="343" t="s">
        <v>52</v>
      </c>
      <c r="K8" s="343" t="s">
        <v>209</v>
      </c>
      <c r="L8" s="344">
        <v>1981.21</v>
      </c>
      <c r="M8" s="344">
        <v>226.81</v>
      </c>
      <c r="N8" s="344">
        <v>27677.02</v>
      </c>
    </row>
    <row r="9" spans="1:16" x14ac:dyDescent="0.25">
      <c r="A9" s="340" t="s">
        <v>338</v>
      </c>
      <c r="B9" s="340" t="s">
        <v>38</v>
      </c>
      <c r="C9" s="340" t="s">
        <v>3</v>
      </c>
      <c r="D9" s="342">
        <v>0</v>
      </c>
      <c r="E9" s="342">
        <v>37638.17</v>
      </c>
      <c r="F9" s="342">
        <v>6403.06</v>
      </c>
      <c r="H9" s="343" t="s">
        <v>338</v>
      </c>
      <c r="I9" s="343" t="s">
        <v>21</v>
      </c>
      <c r="J9" s="343" t="s">
        <v>52</v>
      </c>
      <c r="K9" s="343" t="s">
        <v>178</v>
      </c>
      <c r="L9" s="344">
        <v>17568.560000000001</v>
      </c>
      <c r="M9" s="344">
        <v>3294.82</v>
      </c>
      <c r="N9" s="344">
        <v>56104.49</v>
      </c>
    </row>
    <row r="10" spans="1:16" x14ac:dyDescent="0.25">
      <c r="A10" s="340" t="s">
        <v>338</v>
      </c>
      <c r="B10" s="340" t="s">
        <v>38</v>
      </c>
      <c r="C10" s="340" t="s">
        <v>323</v>
      </c>
      <c r="D10" s="342">
        <v>1.7</v>
      </c>
      <c r="E10" s="342">
        <v>0</v>
      </c>
      <c r="F10" s="342">
        <v>16.55</v>
      </c>
      <c r="G10" s="345"/>
      <c r="H10" s="343" t="s">
        <v>338</v>
      </c>
      <c r="I10" s="343" t="s">
        <v>21</v>
      </c>
      <c r="J10" s="343" t="s">
        <v>52</v>
      </c>
      <c r="K10" s="343" t="s">
        <v>332</v>
      </c>
      <c r="L10" s="344">
        <v>1416.73</v>
      </c>
      <c r="M10" s="344">
        <v>850.91</v>
      </c>
      <c r="N10" s="344">
        <v>14249.68</v>
      </c>
    </row>
    <row r="11" spans="1:16" x14ac:dyDescent="0.25">
      <c r="A11" s="340" t="s">
        <v>338</v>
      </c>
      <c r="B11" s="340" t="s">
        <v>38</v>
      </c>
      <c r="C11" s="340" t="s">
        <v>41</v>
      </c>
      <c r="D11" s="342">
        <v>149119.97</v>
      </c>
      <c r="E11" s="342">
        <v>48987.67</v>
      </c>
      <c r="F11" s="342">
        <v>577954.89</v>
      </c>
      <c r="G11" s="345"/>
      <c r="H11" s="343" t="s">
        <v>338</v>
      </c>
      <c r="I11" s="343" t="s">
        <v>21</v>
      </c>
      <c r="J11" s="343" t="s">
        <v>52</v>
      </c>
      <c r="K11" s="343" t="s">
        <v>210</v>
      </c>
      <c r="L11" s="344">
        <v>3000.37</v>
      </c>
      <c r="M11" s="344">
        <v>650.76</v>
      </c>
      <c r="N11" s="344">
        <v>68648.56</v>
      </c>
    </row>
    <row r="12" spans="1:16" x14ac:dyDescent="0.25">
      <c r="A12" s="340" t="s">
        <v>338</v>
      </c>
      <c r="B12" s="340" t="s">
        <v>39</v>
      </c>
      <c r="C12" s="340" t="s">
        <v>41</v>
      </c>
      <c r="D12" s="342">
        <v>38573.599999999999</v>
      </c>
      <c r="E12" s="342">
        <v>17769.900000000001</v>
      </c>
      <c r="F12" s="342">
        <v>140137.1</v>
      </c>
      <c r="H12" s="343" t="s">
        <v>338</v>
      </c>
      <c r="I12" s="343" t="s">
        <v>21</v>
      </c>
      <c r="J12" s="343" t="s">
        <v>52</v>
      </c>
      <c r="K12" s="343" t="s">
        <v>240</v>
      </c>
      <c r="L12" s="344">
        <v>1306.19</v>
      </c>
      <c r="M12" s="344">
        <v>1231.27</v>
      </c>
      <c r="N12" s="344">
        <v>94172.98</v>
      </c>
      <c r="O12" s="346">
        <f>SUM(L8:N12)</f>
        <v>292380.36</v>
      </c>
      <c r="P12" s="347" t="s">
        <v>52</v>
      </c>
    </row>
    <row r="13" spans="1:16" x14ac:dyDescent="0.25">
      <c r="H13" s="348" t="s">
        <v>338</v>
      </c>
      <c r="I13" s="348" t="s">
        <v>21</v>
      </c>
      <c r="J13" s="348" t="s">
        <v>52</v>
      </c>
      <c r="K13" s="348" t="s">
        <v>72</v>
      </c>
      <c r="L13" s="349">
        <v>17485.79</v>
      </c>
      <c r="M13" s="349">
        <v>3004.43</v>
      </c>
      <c r="N13" s="349">
        <v>13959.53</v>
      </c>
      <c r="O13" s="350">
        <f>SUM(L13:N13)</f>
        <v>34449.75</v>
      </c>
      <c r="P13" s="351" t="s">
        <v>254</v>
      </c>
    </row>
    <row r="14" spans="1:16" x14ac:dyDescent="0.25">
      <c r="H14" s="352" t="s">
        <v>338</v>
      </c>
      <c r="I14" s="352" t="s">
        <v>21</v>
      </c>
      <c r="J14" s="352" t="s">
        <v>55</v>
      </c>
      <c r="K14" s="352" t="s">
        <v>182</v>
      </c>
      <c r="L14" s="353">
        <v>289.7</v>
      </c>
      <c r="M14" s="353">
        <v>0</v>
      </c>
      <c r="N14" s="353">
        <v>59.41</v>
      </c>
    </row>
    <row r="15" spans="1:16" x14ac:dyDescent="0.25">
      <c r="H15" s="352" t="s">
        <v>338</v>
      </c>
      <c r="I15" s="352" t="s">
        <v>21</v>
      </c>
      <c r="J15" s="352" t="s">
        <v>55</v>
      </c>
      <c r="K15" s="352" t="s">
        <v>54</v>
      </c>
      <c r="L15" s="353">
        <v>177.69</v>
      </c>
      <c r="M15" s="353">
        <v>88.7</v>
      </c>
      <c r="N15" s="353">
        <v>873.41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338</v>
      </c>
      <c r="I16" s="352" t="s">
        <v>21</v>
      </c>
      <c r="J16" s="352" t="s">
        <v>55</v>
      </c>
      <c r="K16" s="352" t="s">
        <v>66</v>
      </c>
      <c r="L16" s="353">
        <v>424.09</v>
      </c>
      <c r="M16" s="353">
        <v>23.81</v>
      </c>
      <c r="N16" s="353">
        <v>2716.3</v>
      </c>
    </row>
    <row r="17" spans="1:16" x14ac:dyDescent="0.25">
      <c r="A17" s="336" t="s">
        <v>38</v>
      </c>
      <c r="B17" s="359">
        <f>SUM(D11:F11)</f>
        <v>776062.53</v>
      </c>
      <c r="D17" s="502" t="s">
        <v>81</v>
      </c>
      <c r="E17" s="502"/>
      <c r="F17" s="360">
        <f>O12/B21</f>
        <v>0.28760536036790224</v>
      </c>
      <c r="H17" s="352" t="s">
        <v>338</v>
      </c>
      <c r="I17" s="352" t="s">
        <v>21</v>
      </c>
      <c r="J17" s="352" t="s">
        <v>55</v>
      </c>
      <c r="K17" s="352" t="s">
        <v>67</v>
      </c>
      <c r="L17" s="353">
        <v>392.87</v>
      </c>
      <c r="M17" s="353">
        <v>0</v>
      </c>
      <c r="N17" s="353">
        <v>4364.3</v>
      </c>
    </row>
    <row r="18" spans="1:16" x14ac:dyDescent="0.25">
      <c r="A18" s="336" t="s">
        <v>39</v>
      </c>
      <c r="B18" s="359">
        <f>SUM(D12:F12)</f>
        <v>196480.6</v>
      </c>
      <c r="D18" s="481" t="s">
        <v>253</v>
      </c>
      <c r="E18" s="481"/>
      <c r="F18" s="360">
        <f>O13/B21</f>
        <v>3.3887135111722762E-2</v>
      </c>
      <c r="H18" s="352" t="s">
        <v>338</v>
      </c>
      <c r="I18" s="352" t="s">
        <v>21</v>
      </c>
      <c r="J18" s="352" t="s">
        <v>55</v>
      </c>
      <c r="K18" s="352" t="s">
        <v>68</v>
      </c>
      <c r="L18" s="353">
        <v>2547.5300000000002</v>
      </c>
      <c r="M18" s="353">
        <v>826.84</v>
      </c>
      <c r="N18" s="353">
        <v>17117.560000000001</v>
      </c>
    </row>
    <row r="19" spans="1:16" x14ac:dyDescent="0.25">
      <c r="A19" s="336" t="s">
        <v>2</v>
      </c>
      <c r="B19" s="359">
        <f>SUM(D10:F10)</f>
        <v>18.25</v>
      </c>
      <c r="D19" s="336" t="s">
        <v>78</v>
      </c>
      <c r="F19" s="360">
        <f>O21/B21</f>
        <v>9.0718378147779888E-2</v>
      </c>
      <c r="H19" s="352" t="s">
        <v>338</v>
      </c>
      <c r="I19" s="352" t="s">
        <v>21</v>
      </c>
      <c r="J19" s="352" t="s">
        <v>55</v>
      </c>
      <c r="K19" s="352" t="s">
        <v>183</v>
      </c>
      <c r="L19" s="353">
        <v>938.42</v>
      </c>
      <c r="M19" s="353">
        <v>558.82000000000005</v>
      </c>
      <c r="N19" s="353">
        <v>8019.21</v>
      </c>
    </row>
    <row r="20" spans="1:16" x14ac:dyDescent="0.25">
      <c r="A20" s="336" t="s">
        <v>3</v>
      </c>
      <c r="B20" s="359">
        <f>SUM(D9:F9)</f>
        <v>44041.229999999996</v>
      </c>
      <c r="D20" s="481" t="s">
        <v>42</v>
      </c>
      <c r="E20" s="481"/>
      <c r="F20" s="360">
        <f>O26/B21</f>
        <v>0.45832414300018376</v>
      </c>
      <c r="H20" s="352" t="s">
        <v>338</v>
      </c>
      <c r="I20" s="352" t="s">
        <v>21</v>
      </c>
      <c r="J20" s="352" t="s">
        <v>55</v>
      </c>
      <c r="K20" s="352" t="s">
        <v>337</v>
      </c>
      <c r="L20" s="353">
        <v>721.39</v>
      </c>
      <c r="M20" s="353">
        <v>337.84</v>
      </c>
      <c r="N20" s="353">
        <v>4881.96</v>
      </c>
    </row>
    <row r="21" spans="1:16" ht="15.75" thickBot="1" x14ac:dyDescent="0.3">
      <c r="A21" s="361"/>
      <c r="B21" s="404">
        <f>SUM(B17:B20)</f>
        <v>1016602.61</v>
      </c>
      <c r="F21" s="363">
        <f>SUM(F17:F20)</f>
        <v>0.8705350166275887</v>
      </c>
      <c r="H21" s="352" t="s">
        <v>338</v>
      </c>
      <c r="I21" s="352" t="s">
        <v>21</v>
      </c>
      <c r="J21" s="352" t="s">
        <v>55</v>
      </c>
      <c r="K21" s="352" t="s">
        <v>72</v>
      </c>
      <c r="L21" s="353">
        <v>6229.07</v>
      </c>
      <c r="M21" s="353">
        <v>2669.01</v>
      </c>
      <c r="N21" s="353">
        <v>37966.61</v>
      </c>
      <c r="O21" s="364">
        <f>SUM(L14:N21)</f>
        <v>92224.54</v>
      </c>
      <c r="P21" s="365" t="s">
        <v>85</v>
      </c>
    </row>
    <row r="22" spans="1:16" x14ac:dyDescent="0.25">
      <c r="E22" s="393" t="s">
        <v>356</v>
      </c>
      <c r="F22" s="394">
        <v>205</v>
      </c>
      <c r="H22" s="366" t="s">
        <v>338</v>
      </c>
      <c r="I22" s="366" t="s">
        <v>43</v>
      </c>
      <c r="J22" s="366" t="s">
        <v>21</v>
      </c>
      <c r="K22" s="366" t="s">
        <v>21</v>
      </c>
      <c r="L22" s="367">
        <v>45985.87</v>
      </c>
      <c r="M22" s="367">
        <v>10544.28</v>
      </c>
      <c r="N22" s="367">
        <v>106739.76</v>
      </c>
    </row>
    <row r="23" spans="1:16" x14ac:dyDescent="0.25">
      <c r="H23" s="366" t="s">
        <v>338</v>
      </c>
      <c r="I23" s="366" t="s">
        <v>45</v>
      </c>
      <c r="J23" s="366" t="s">
        <v>21</v>
      </c>
      <c r="K23" s="366" t="s">
        <v>21</v>
      </c>
      <c r="L23" s="367">
        <v>34715.279999999999</v>
      </c>
      <c r="M23" s="367">
        <v>17245.53</v>
      </c>
      <c r="N23" s="367">
        <v>148829.01</v>
      </c>
    </row>
    <row r="24" spans="1:16" x14ac:dyDescent="0.25">
      <c r="H24" s="366" t="s">
        <v>338</v>
      </c>
      <c r="I24" s="366" t="s">
        <v>46</v>
      </c>
      <c r="J24" s="366" t="s">
        <v>21</v>
      </c>
      <c r="K24" s="366" t="s">
        <v>21</v>
      </c>
      <c r="L24" s="367">
        <v>14603.09</v>
      </c>
      <c r="M24" s="367">
        <v>11034.23</v>
      </c>
      <c r="N24" s="367">
        <v>44187.8</v>
      </c>
    </row>
    <row r="25" spans="1:16" x14ac:dyDescent="0.25">
      <c r="H25" s="366" t="s">
        <v>338</v>
      </c>
      <c r="I25" s="366" t="s">
        <v>47</v>
      </c>
      <c r="J25" s="366" t="s">
        <v>21</v>
      </c>
      <c r="K25" s="366" t="s">
        <v>21</v>
      </c>
      <c r="L25" s="367">
        <v>0</v>
      </c>
      <c r="M25" s="367">
        <v>0</v>
      </c>
      <c r="N25" s="367">
        <v>0</v>
      </c>
    </row>
    <row r="26" spans="1:16" x14ac:dyDescent="0.25">
      <c r="H26" s="366" t="s">
        <v>338</v>
      </c>
      <c r="I26" s="366" t="s">
        <v>50</v>
      </c>
      <c r="J26" s="366" t="s">
        <v>21</v>
      </c>
      <c r="K26" s="366" t="s">
        <v>21</v>
      </c>
      <c r="L26" s="367">
        <v>10079.58</v>
      </c>
      <c r="M26" s="367">
        <v>2853.13</v>
      </c>
      <c r="N26" s="367">
        <v>19115.96</v>
      </c>
      <c r="O26" s="368">
        <f>SUM(L22:N26)</f>
        <v>465933.52</v>
      </c>
      <c r="P26" s="369" t="s">
        <v>84</v>
      </c>
    </row>
    <row r="27" spans="1:16" x14ac:dyDescent="0.25">
      <c r="H27" s="340" t="s">
        <v>338</v>
      </c>
      <c r="I27" s="340" t="s">
        <v>21</v>
      </c>
      <c r="J27" s="340" t="s">
        <v>21</v>
      </c>
      <c r="K27" s="340" t="s">
        <v>21</v>
      </c>
      <c r="L27" s="341">
        <v>23004.81</v>
      </c>
      <c r="M27" s="341">
        <v>46785.69</v>
      </c>
      <c r="N27" s="341">
        <v>22771.4</v>
      </c>
    </row>
    <row r="28" spans="1:16" x14ac:dyDescent="0.25">
      <c r="H28" s="340" t="s">
        <v>338</v>
      </c>
      <c r="I28" s="340" t="s">
        <v>43</v>
      </c>
      <c r="J28" s="340" t="s">
        <v>52</v>
      </c>
      <c r="K28" s="340" t="s">
        <v>209</v>
      </c>
      <c r="L28" s="341">
        <v>234.77</v>
      </c>
      <c r="M28" s="341">
        <v>0</v>
      </c>
      <c r="N28" s="341">
        <v>732.78</v>
      </c>
    </row>
    <row r="29" spans="1:16" x14ac:dyDescent="0.25">
      <c r="H29" s="340" t="s">
        <v>338</v>
      </c>
      <c r="I29" s="340" t="s">
        <v>43</v>
      </c>
      <c r="J29" s="340" t="s">
        <v>52</v>
      </c>
      <c r="K29" s="340" t="s">
        <v>178</v>
      </c>
      <c r="L29" s="341">
        <v>0</v>
      </c>
      <c r="M29" s="341">
        <v>470.01</v>
      </c>
      <c r="N29" s="341">
        <v>808.76</v>
      </c>
    </row>
    <row r="30" spans="1:16" x14ac:dyDescent="0.25">
      <c r="D30" s="345"/>
      <c r="E30" s="345"/>
      <c r="F30" s="345"/>
      <c r="H30" s="340" t="s">
        <v>338</v>
      </c>
      <c r="I30" s="340" t="s">
        <v>43</v>
      </c>
      <c r="J30" s="340" t="s">
        <v>52</v>
      </c>
      <c r="K30" s="340" t="s">
        <v>210</v>
      </c>
      <c r="L30" s="341">
        <v>0</v>
      </c>
      <c r="M30" s="341">
        <v>500.29</v>
      </c>
      <c r="N30" s="341">
        <v>7379.38</v>
      </c>
    </row>
    <row r="31" spans="1:16" x14ac:dyDescent="0.25">
      <c r="D31" s="345"/>
      <c r="E31" s="345"/>
      <c r="F31" s="345"/>
      <c r="H31" s="340" t="s">
        <v>338</v>
      </c>
      <c r="I31" s="340" t="s">
        <v>43</v>
      </c>
      <c r="J31" s="340" t="s">
        <v>55</v>
      </c>
      <c r="K31" s="340" t="s">
        <v>183</v>
      </c>
      <c r="L31" s="341">
        <v>0</v>
      </c>
      <c r="M31" s="341">
        <v>0</v>
      </c>
      <c r="N31" s="341">
        <v>260.47000000000003</v>
      </c>
    </row>
    <row r="32" spans="1:16" x14ac:dyDescent="0.25">
      <c r="H32" s="340" t="s">
        <v>338</v>
      </c>
      <c r="I32" s="340" t="s">
        <v>43</v>
      </c>
      <c r="J32" s="340" t="s">
        <v>55</v>
      </c>
      <c r="K32" s="340" t="s">
        <v>337</v>
      </c>
      <c r="L32" s="341">
        <v>0</v>
      </c>
      <c r="M32" s="341">
        <v>166.55</v>
      </c>
      <c r="N32" s="341">
        <v>396.11</v>
      </c>
    </row>
    <row r="33" spans="8:14" x14ac:dyDescent="0.25">
      <c r="H33" s="340" t="s">
        <v>338</v>
      </c>
      <c r="I33" s="340" t="s">
        <v>45</v>
      </c>
      <c r="J33" s="340" t="s">
        <v>55</v>
      </c>
      <c r="K33" s="340" t="s">
        <v>183</v>
      </c>
      <c r="L33" s="341">
        <v>672.04</v>
      </c>
      <c r="M33" s="341">
        <v>833.52</v>
      </c>
      <c r="N33" s="341">
        <v>12311.53</v>
      </c>
    </row>
    <row r="34" spans="8:14" x14ac:dyDescent="0.25">
      <c r="H34" s="340" t="s">
        <v>338</v>
      </c>
      <c r="I34" s="340" t="s">
        <v>45</v>
      </c>
      <c r="J34" s="340" t="s">
        <v>55</v>
      </c>
      <c r="K34" s="340" t="s">
        <v>337</v>
      </c>
      <c r="L34" s="341">
        <v>34.83</v>
      </c>
      <c r="M34" s="341">
        <v>0</v>
      </c>
      <c r="N34" s="341">
        <v>2009.01</v>
      </c>
    </row>
    <row r="35" spans="8:14" x14ac:dyDescent="0.25">
      <c r="H35" s="340" t="s">
        <v>338</v>
      </c>
      <c r="I35" s="340" t="s">
        <v>45</v>
      </c>
      <c r="J35" s="340" t="s">
        <v>55</v>
      </c>
      <c r="K35" s="340" t="s">
        <v>72</v>
      </c>
      <c r="L35" s="341">
        <v>437.28</v>
      </c>
      <c r="M35" s="341">
        <v>198.49</v>
      </c>
      <c r="N35" s="341">
        <v>870.37</v>
      </c>
    </row>
    <row r="36" spans="8:14" x14ac:dyDescent="0.25">
      <c r="H36" s="340" t="s">
        <v>338</v>
      </c>
      <c r="I36" s="340" t="s">
        <v>46</v>
      </c>
      <c r="J36" s="340" t="s">
        <v>52</v>
      </c>
      <c r="K36" s="340" t="s">
        <v>240</v>
      </c>
      <c r="L36" s="341">
        <v>593.29999999999995</v>
      </c>
      <c r="M36" s="341">
        <v>0</v>
      </c>
      <c r="N36" s="341">
        <v>3889.66</v>
      </c>
    </row>
    <row r="37" spans="8:14" x14ac:dyDescent="0.25">
      <c r="H37" s="340" t="s">
        <v>338</v>
      </c>
      <c r="I37" s="340" t="s">
        <v>46</v>
      </c>
      <c r="J37" s="340" t="s">
        <v>55</v>
      </c>
      <c r="K37" s="340" t="s">
        <v>337</v>
      </c>
      <c r="L37" s="341">
        <v>275.93</v>
      </c>
      <c r="M37" s="341">
        <v>0</v>
      </c>
      <c r="N37" s="341">
        <v>0</v>
      </c>
    </row>
    <row r="38" spans="8:14" x14ac:dyDescent="0.25">
      <c r="H38" s="340" t="s">
        <v>338</v>
      </c>
      <c r="I38" s="340" t="s">
        <v>50</v>
      </c>
      <c r="J38" s="340" t="s">
        <v>52</v>
      </c>
      <c r="K38" s="340" t="s">
        <v>178</v>
      </c>
      <c r="L38" s="341">
        <v>1686.69</v>
      </c>
      <c r="M38" s="341">
        <v>0</v>
      </c>
      <c r="N38" s="341">
        <v>919.91</v>
      </c>
    </row>
    <row r="39" spans="8:14" x14ac:dyDescent="0.25">
      <c r="H39" s="340" t="s">
        <v>338</v>
      </c>
      <c r="I39" s="340" t="s">
        <v>50</v>
      </c>
      <c r="J39" s="340" t="s">
        <v>52</v>
      </c>
      <c r="K39" s="340" t="s">
        <v>332</v>
      </c>
      <c r="L39" s="341">
        <v>484.58</v>
      </c>
      <c r="M39" s="341">
        <v>0</v>
      </c>
      <c r="N39" s="341">
        <v>1253.23</v>
      </c>
    </row>
    <row r="40" spans="8:14" x14ac:dyDescent="0.25">
      <c r="H40" s="340" t="s">
        <v>338</v>
      </c>
      <c r="I40" s="340" t="s">
        <v>50</v>
      </c>
      <c r="J40" s="340" t="s">
        <v>52</v>
      </c>
      <c r="K40" s="340" t="s">
        <v>210</v>
      </c>
      <c r="L40" s="341">
        <v>101.3</v>
      </c>
      <c r="M40" s="341">
        <v>0</v>
      </c>
      <c r="N40" s="341">
        <v>1028.53</v>
      </c>
    </row>
    <row r="41" spans="8:14" x14ac:dyDescent="0.25">
      <c r="H41" s="340" t="s">
        <v>338</v>
      </c>
      <c r="I41" s="340" t="s">
        <v>50</v>
      </c>
      <c r="J41" s="340" t="s">
        <v>52</v>
      </c>
      <c r="K41" s="340" t="s">
        <v>72</v>
      </c>
      <c r="L41" s="341">
        <v>0</v>
      </c>
      <c r="M41" s="341">
        <v>0</v>
      </c>
      <c r="N41" s="341">
        <v>14.13</v>
      </c>
    </row>
    <row r="42" spans="8:14" x14ac:dyDescent="0.25">
      <c r="H42" s="340" t="s">
        <v>338</v>
      </c>
      <c r="I42" s="340" t="s">
        <v>50</v>
      </c>
      <c r="J42" s="340" t="s">
        <v>55</v>
      </c>
      <c r="K42" s="340" t="s">
        <v>68</v>
      </c>
      <c r="L42" s="341">
        <v>0</v>
      </c>
      <c r="M42" s="341">
        <v>0</v>
      </c>
      <c r="N42" s="341">
        <v>136.33000000000001</v>
      </c>
    </row>
    <row r="43" spans="8:14" x14ac:dyDescent="0.25">
      <c r="H43" s="340" t="s">
        <v>338</v>
      </c>
      <c r="I43" s="340" t="s">
        <v>50</v>
      </c>
      <c r="J43" s="340" t="s">
        <v>55</v>
      </c>
      <c r="K43" s="340" t="s">
        <v>183</v>
      </c>
      <c r="L43" s="341">
        <v>31.25</v>
      </c>
      <c r="M43" s="341">
        <v>0</v>
      </c>
      <c r="N43" s="341">
        <v>46.45</v>
      </c>
    </row>
    <row r="44" spans="8:14" x14ac:dyDescent="0.25">
      <c r="H44" s="340" t="s">
        <v>338</v>
      </c>
      <c r="I44" s="340" t="s">
        <v>50</v>
      </c>
      <c r="J44" s="340" t="s">
        <v>55</v>
      </c>
      <c r="K44" s="340" t="s">
        <v>72</v>
      </c>
      <c r="L44" s="341">
        <v>275.06</v>
      </c>
      <c r="M44" s="341">
        <v>0</v>
      </c>
      <c r="N44" s="341">
        <v>0</v>
      </c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P44"/>
  <sheetViews>
    <sheetView zoomScale="80" zoomScaleNormal="80" workbookViewId="0">
      <selection sqref="A1:F1"/>
    </sheetView>
  </sheetViews>
  <sheetFormatPr defaultColWidth="9.140625" defaultRowHeight="15" x14ac:dyDescent="0.25"/>
  <cols>
    <col min="1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39" t="s">
        <v>32</v>
      </c>
      <c r="B8" s="339" t="s">
        <v>33</v>
      </c>
      <c r="C8" s="339" t="s">
        <v>40</v>
      </c>
      <c r="D8" s="339" t="s">
        <v>34</v>
      </c>
      <c r="E8" s="339" t="s">
        <v>35</v>
      </c>
      <c r="F8" s="339" t="s">
        <v>103</v>
      </c>
      <c r="H8" s="343" t="s">
        <v>338</v>
      </c>
      <c r="I8" s="343" t="s">
        <v>21</v>
      </c>
      <c r="J8" s="343" t="s">
        <v>52</v>
      </c>
      <c r="K8" s="343" t="s">
        <v>209</v>
      </c>
      <c r="L8" s="396">
        <v>0</v>
      </c>
      <c r="M8" s="396">
        <v>5621.47</v>
      </c>
      <c r="N8" s="396">
        <v>21205.23</v>
      </c>
      <c r="O8" s="395"/>
    </row>
    <row r="9" spans="1:16" x14ac:dyDescent="0.25">
      <c r="A9" s="340" t="s">
        <v>338</v>
      </c>
      <c r="B9" s="340" t="s">
        <v>38</v>
      </c>
      <c r="C9" s="340" t="s">
        <v>3</v>
      </c>
      <c r="D9" s="342">
        <v>37642.120000000003</v>
      </c>
      <c r="E9" s="342">
        <v>0</v>
      </c>
      <c r="F9" s="342">
        <v>6455.38</v>
      </c>
      <c r="H9" s="343" t="s">
        <v>338</v>
      </c>
      <c r="I9" s="343" t="s">
        <v>21</v>
      </c>
      <c r="J9" s="343" t="s">
        <v>52</v>
      </c>
      <c r="K9" s="343" t="s">
        <v>178</v>
      </c>
      <c r="L9" s="396">
        <v>12937.52</v>
      </c>
      <c r="M9" s="396">
        <v>4290.62</v>
      </c>
      <c r="N9" s="396">
        <v>54480.42</v>
      </c>
      <c r="O9" s="395"/>
    </row>
    <row r="10" spans="1:16" x14ac:dyDescent="0.25">
      <c r="A10" s="340" t="s">
        <v>338</v>
      </c>
      <c r="B10" s="340" t="s">
        <v>38</v>
      </c>
      <c r="C10" s="340" t="s">
        <v>323</v>
      </c>
      <c r="D10" s="342">
        <v>15064.06</v>
      </c>
      <c r="E10" s="342">
        <v>2.37</v>
      </c>
      <c r="F10" s="342">
        <v>14.18</v>
      </c>
      <c r="G10" s="345"/>
      <c r="H10" s="343" t="s">
        <v>338</v>
      </c>
      <c r="I10" s="343" t="s">
        <v>21</v>
      </c>
      <c r="J10" s="343" t="s">
        <v>52</v>
      </c>
      <c r="K10" s="343" t="s">
        <v>332</v>
      </c>
      <c r="L10" s="396">
        <v>608.91</v>
      </c>
      <c r="M10" s="396">
        <v>1532.45</v>
      </c>
      <c r="N10" s="396">
        <v>12352.08</v>
      </c>
      <c r="O10" s="395"/>
    </row>
    <row r="11" spans="1:16" x14ac:dyDescent="0.25">
      <c r="A11" s="340" t="s">
        <v>338</v>
      </c>
      <c r="B11" s="340" t="s">
        <v>38</v>
      </c>
      <c r="C11" s="340" t="s">
        <v>41</v>
      </c>
      <c r="D11" s="342">
        <v>61459.92</v>
      </c>
      <c r="E11" s="342">
        <v>63675.16</v>
      </c>
      <c r="F11" s="342">
        <v>591920.94999999995</v>
      </c>
      <c r="G11" s="345"/>
      <c r="H11" s="343" t="s">
        <v>338</v>
      </c>
      <c r="I11" s="343" t="s">
        <v>21</v>
      </c>
      <c r="J11" s="343" t="s">
        <v>52</v>
      </c>
      <c r="K11" s="343" t="s">
        <v>210</v>
      </c>
      <c r="L11" s="396">
        <v>1452.3</v>
      </c>
      <c r="M11" s="396">
        <v>1742.73</v>
      </c>
      <c r="N11" s="396">
        <v>88396.09</v>
      </c>
      <c r="O11" s="395"/>
    </row>
    <row r="12" spans="1:16" x14ac:dyDescent="0.25">
      <c r="A12" s="340" t="s">
        <v>338</v>
      </c>
      <c r="B12" s="340" t="s">
        <v>39</v>
      </c>
      <c r="C12" s="340" t="s">
        <v>41</v>
      </c>
      <c r="D12" s="342">
        <v>17384.13</v>
      </c>
      <c r="E12" s="342">
        <v>17380.96</v>
      </c>
      <c r="F12" s="342">
        <v>149219.68</v>
      </c>
      <c r="H12" s="343" t="s">
        <v>338</v>
      </c>
      <c r="I12" s="343" t="s">
        <v>21</v>
      </c>
      <c r="J12" s="343" t="s">
        <v>52</v>
      </c>
      <c r="K12" s="343" t="s">
        <v>72</v>
      </c>
      <c r="L12" s="396">
        <v>11244.39</v>
      </c>
      <c r="M12" s="396">
        <v>1697.61</v>
      </c>
      <c r="N12" s="396">
        <v>23460.02</v>
      </c>
      <c r="O12" s="397">
        <f>SUM(L8:N12)</f>
        <v>241021.84</v>
      </c>
      <c r="P12" s="347" t="s">
        <v>52</v>
      </c>
    </row>
    <row r="13" spans="1:16" x14ac:dyDescent="0.25">
      <c r="H13" s="348" t="s">
        <v>338</v>
      </c>
      <c r="I13" s="348" t="s">
        <v>21</v>
      </c>
      <c r="J13" s="348" t="s">
        <v>52</v>
      </c>
      <c r="K13" s="348" t="s">
        <v>240</v>
      </c>
      <c r="L13" s="398">
        <v>691.48</v>
      </c>
      <c r="M13" s="398">
        <v>4822.4399999999996</v>
      </c>
      <c r="N13" s="398">
        <v>91063.42</v>
      </c>
      <c r="O13" s="399">
        <f>SUM(L13:N13)</f>
        <v>96577.34</v>
      </c>
      <c r="P13" s="351" t="s">
        <v>254</v>
      </c>
    </row>
    <row r="14" spans="1:16" x14ac:dyDescent="0.25">
      <c r="H14" s="352" t="s">
        <v>338</v>
      </c>
      <c r="I14" s="352" t="s">
        <v>21</v>
      </c>
      <c r="J14" s="352" t="s">
        <v>55</v>
      </c>
      <c r="K14" s="352" t="s">
        <v>358</v>
      </c>
      <c r="L14" s="400">
        <v>23.81</v>
      </c>
      <c r="M14" s="400">
        <v>128.06</v>
      </c>
      <c r="N14" s="400">
        <v>7032.78</v>
      </c>
      <c r="O14" s="395"/>
    </row>
    <row r="15" spans="1:16" x14ac:dyDescent="0.25">
      <c r="H15" s="352" t="s">
        <v>338</v>
      </c>
      <c r="I15" s="352" t="s">
        <v>21</v>
      </c>
      <c r="J15" s="352" t="s">
        <v>55</v>
      </c>
      <c r="K15" s="352" t="s">
        <v>339</v>
      </c>
      <c r="L15" s="400">
        <v>266.05</v>
      </c>
      <c r="M15" s="400">
        <v>0</v>
      </c>
      <c r="N15" s="400">
        <v>525.26</v>
      </c>
      <c r="O15" s="395"/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338</v>
      </c>
      <c r="I16" s="352" t="s">
        <v>21</v>
      </c>
      <c r="J16" s="352" t="s">
        <v>55</v>
      </c>
      <c r="K16" s="352" t="s">
        <v>182</v>
      </c>
      <c r="L16" s="400">
        <v>682.24</v>
      </c>
      <c r="M16" s="400">
        <v>321.75</v>
      </c>
      <c r="N16" s="400">
        <v>9249.4599999999991</v>
      </c>
      <c r="O16" s="395"/>
    </row>
    <row r="17" spans="1:16" x14ac:dyDescent="0.25">
      <c r="A17" s="336" t="s">
        <v>38</v>
      </c>
      <c r="B17" s="359">
        <f>SUM(D11:F11)</f>
        <v>717056.02999999991</v>
      </c>
      <c r="D17" s="502" t="s">
        <v>81</v>
      </c>
      <c r="E17" s="502"/>
      <c r="F17" s="360">
        <f>O12/B21</f>
        <v>0.25100717918583798</v>
      </c>
      <c r="H17" s="352" t="s">
        <v>338</v>
      </c>
      <c r="I17" s="352" t="s">
        <v>21</v>
      </c>
      <c r="J17" s="352" t="s">
        <v>55</v>
      </c>
      <c r="K17" s="352" t="s">
        <v>54</v>
      </c>
      <c r="L17" s="400">
        <v>2425.02</v>
      </c>
      <c r="M17" s="400">
        <v>1128.97</v>
      </c>
      <c r="N17" s="400">
        <v>4077.38</v>
      </c>
      <c r="O17" s="395"/>
    </row>
    <row r="18" spans="1:16" x14ac:dyDescent="0.25">
      <c r="A18" s="336" t="s">
        <v>39</v>
      </c>
      <c r="B18" s="359">
        <f>SUM(D12:F12)</f>
        <v>183984.77</v>
      </c>
      <c r="D18" s="481" t="s">
        <v>253</v>
      </c>
      <c r="E18" s="481"/>
      <c r="F18" s="360">
        <f>O13/B21</f>
        <v>0.10057846080119377</v>
      </c>
      <c r="H18" s="352" t="s">
        <v>338</v>
      </c>
      <c r="I18" s="352" t="s">
        <v>21</v>
      </c>
      <c r="J18" s="352" t="s">
        <v>55</v>
      </c>
      <c r="K18" s="352" t="s">
        <v>66</v>
      </c>
      <c r="L18" s="400">
        <v>347.55</v>
      </c>
      <c r="M18" s="400">
        <v>974.06</v>
      </c>
      <c r="N18" s="400">
        <v>2851.59</v>
      </c>
      <c r="O18" s="395"/>
    </row>
    <row r="19" spans="1:16" x14ac:dyDescent="0.25">
      <c r="A19" s="336" t="s">
        <v>2</v>
      </c>
      <c r="B19" s="359">
        <f>SUM(D10:F10)</f>
        <v>15080.61</v>
      </c>
      <c r="D19" s="336" t="s">
        <v>78</v>
      </c>
      <c r="F19" s="360">
        <f>O23/B21</f>
        <v>0.10810200561453222</v>
      </c>
      <c r="H19" s="352" t="s">
        <v>338</v>
      </c>
      <c r="I19" s="352" t="s">
        <v>21</v>
      </c>
      <c r="J19" s="352" t="s">
        <v>55</v>
      </c>
      <c r="K19" s="352" t="s">
        <v>67</v>
      </c>
      <c r="L19" s="400">
        <v>0</v>
      </c>
      <c r="M19" s="400">
        <v>0</v>
      </c>
      <c r="N19" s="400">
        <v>585.36</v>
      </c>
      <c r="O19" s="395"/>
    </row>
    <row r="20" spans="1:16" x14ac:dyDescent="0.25">
      <c r="A20" s="336" t="s">
        <v>3</v>
      </c>
      <c r="B20" s="359">
        <f>SUM(D9:F9)</f>
        <v>44097.5</v>
      </c>
      <c r="D20" s="481" t="s">
        <v>42</v>
      </c>
      <c r="E20" s="481"/>
      <c r="F20" s="360">
        <f>O27/B21</f>
        <v>0.43323539629103958</v>
      </c>
      <c r="H20" s="352" t="s">
        <v>338</v>
      </c>
      <c r="I20" s="352" t="s">
        <v>21</v>
      </c>
      <c r="J20" s="352" t="s">
        <v>55</v>
      </c>
      <c r="K20" s="352" t="s">
        <v>68</v>
      </c>
      <c r="L20" s="400">
        <v>0</v>
      </c>
      <c r="M20" s="400">
        <v>382.16</v>
      </c>
      <c r="N20" s="400">
        <v>1179.5999999999999</v>
      </c>
      <c r="O20" s="395"/>
    </row>
    <row r="21" spans="1:16" ht="15.75" thickBot="1" x14ac:dyDescent="0.3">
      <c r="A21" s="361"/>
      <c r="B21" s="362">
        <f>SUM(B17:B20)</f>
        <v>960218.90999999992</v>
      </c>
      <c r="F21" s="363">
        <f>SUM(F17:F20)</f>
        <v>0.89292304189260352</v>
      </c>
      <c r="H21" s="352" t="s">
        <v>338</v>
      </c>
      <c r="I21" s="352" t="s">
        <v>21</v>
      </c>
      <c r="J21" s="352" t="s">
        <v>55</v>
      </c>
      <c r="K21" s="352" t="s">
        <v>183</v>
      </c>
      <c r="L21" s="400">
        <v>1353.75</v>
      </c>
      <c r="M21" s="400">
        <v>1073.57</v>
      </c>
      <c r="N21" s="400">
        <v>15891.06</v>
      </c>
      <c r="O21" s="395"/>
    </row>
    <row r="22" spans="1:16" x14ac:dyDescent="0.25">
      <c r="E22" s="393" t="s">
        <v>356</v>
      </c>
      <c r="F22" s="394">
        <v>202</v>
      </c>
      <c r="H22" s="352" t="s">
        <v>338</v>
      </c>
      <c r="I22" s="352" t="s">
        <v>21</v>
      </c>
      <c r="J22" s="352" t="s">
        <v>55</v>
      </c>
      <c r="K22" s="352" t="s">
        <v>337</v>
      </c>
      <c r="L22" s="400">
        <v>0</v>
      </c>
      <c r="M22" s="400">
        <v>0</v>
      </c>
      <c r="N22" s="400">
        <v>411.77</v>
      </c>
      <c r="O22" s="395"/>
    </row>
    <row r="23" spans="1:16" x14ac:dyDescent="0.25">
      <c r="H23" s="352" t="s">
        <v>338</v>
      </c>
      <c r="I23" s="352" t="s">
        <v>21</v>
      </c>
      <c r="J23" s="352" t="s">
        <v>55</v>
      </c>
      <c r="K23" s="352" t="s">
        <v>72</v>
      </c>
      <c r="L23" s="400">
        <v>3044.13</v>
      </c>
      <c r="M23" s="400">
        <v>5609.91</v>
      </c>
      <c r="N23" s="400">
        <v>44236.3</v>
      </c>
      <c r="O23" s="401">
        <f>SUM(L14:N23)</f>
        <v>103801.59</v>
      </c>
      <c r="P23" s="365" t="s">
        <v>85</v>
      </c>
    </row>
    <row r="24" spans="1:16" x14ac:dyDescent="0.25">
      <c r="H24" s="366" t="s">
        <v>338</v>
      </c>
      <c r="I24" s="366" t="s">
        <v>43</v>
      </c>
      <c r="J24" s="366" t="s">
        <v>21</v>
      </c>
      <c r="K24" s="366" t="s">
        <v>21</v>
      </c>
      <c r="L24" s="402">
        <v>14434.01</v>
      </c>
      <c r="M24" s="402">
        <v>16077.56</v>
      </c>
      <c r="N24" s="402">
        <v>113143</v>
      </c>
      <c r="O24" s="395"/>
    </row>
    <row r="25" spans="1:16" x14ac:dyDescent="0.25">
      <c r="H25" s="366" t="s">
        <v>338</v>
      </c>
      <c r="I25" s="366" t="s">
        <v>45</v>
      </c>
      <c r="J25" s="366" t="s">
        <v>21</v>
      </c>
      <c r="K25" s="366" t="s">
        <v>21</v>
      </c>
      <c r="L25" s="402">
        <v>17035.95</v>
      </c>
      <c r="M25" s="402">
        <v>18628.87</v>
      </c>
      <c r="N25" s="402">
        <v>152011.51</v>
      </c>
      <c r="O25" s="395"/>
    </row>
    <row r="26" spans="1:16" x14ac:dyDescent="0.25">
      <c r="H26" s="366" t="s">
        <v>338</v>
      </c>
      <c r="I26" s="366" t="s">
        <v>46</v>
      </c>
      <c r="J26" s="366" t="s">
        <v>21</v>
      </c>
      <c r="K26" s="366" t="s">
        <v>21</v>
      </c>
      <c r="L26" s="402">
        <v>12399.07</v>
      </c>
      <c r="M26" s="402">
        <v>4057.8</v>
      </c>
      <c r="N26" s="402">
        <v>47299.98</v>
      </c>
      <c r="O26" s="395"/>
    </row>
    <row r="27" spans="1:16" x14ac:dyDescent="0.25">
      <c r="H27" s="366" t="s">
        <v>338</v>
      </c>
      <c r="I27" s="366" t="s">
        <v>50</v>
      </c>
      <c r="J27" s="366" t="s">
        <v>21</v>
      </c>
      <c r="K27" s="366" t="s">
        <v>21</v>
      </c>
      <c r="L27" s="402">
        <v>4732.62</v>
      </c>
      <c r="M27" s="402">
        <v>2515.4899999999998</v>
      </c>
      <c r="N27" s="402">
        <v>13664.96</v>
      </c>
      <c r="O27" s="403">
        <f>SUM(L24:N27)</f>
        <v>416000.82</v>
      </c>
      <c r="P27" s="369" t="s">
        <v>84</v>
      </c>
    </row>
    <row r="28" spans="1:16" x14ac:dyDescent="0.25">
      <c r="H28" s="340" t="s">
        <v>338</v>
      </c>
      <c r="I28" s="340" t="s">
        <v>21</v>
      </c>
      <c r="J28" s="340" t="s">
        <v>21</v>
      </c>
      <c r="K28" s="340" t="s">
        <v>21</v>
      </c>
      <c r="L28" s="342">
        <v>46526.99</v>
      </c>
      <c r="M28" s="342">
        <v>7381.2</v>
      </c>
      <c r="N28" s="342">
        <v>21073.31</v>
      </c>
    </row>
    <row r="29" spans="1:16" x14ac:dyDescent="0.25">
      <c r="H29" s="340" t="s">
        <v>338</v>
      </c>
      <c r="I29" s="340" t="s">
        <v>43</v>
      </c>
      <c r="J29" s="340" t="s">
        <v>52</v>
      </c>
      <c r="K29" s="340" t="s">
        <v>178</v>
      </c>
      <c r="L29" s="342">
        <v>470.01</v>
      </c>
      <c r="M29" s="342">
        <v>0</v>
      </c>
      <c r="N29" s="342">
        <v>808.76</v>
      </c>
    </row>
    <row r="30" spans="1:16" x14ac:dyDescent="0.25">
      <c r="D30" s="345"/>
      <c r="E30" s="345"/>
      <c r="F30" s="345"/>
      <c r="H30" s="340" t="s">
        <v>338</v>
      </c>
      <c r="I30" s="340" t="s">
        <v>43</v>
      </c>
      <c r="J30" s="340" t="s">
        <v>52</v>
      </c>
      <c r="K30" s="340" t="s">
        <v>210</v>
      </c>
      <c r="L30" s="342">
        <v>266.97000000000003</v>
      </c>
      <c r="M30" s="342">
        <v>0</v>
      </c>
      <c r="N30" s="342">
        <v>1186.42</v>
      </c>
    </row>
    <row r="31" spans="1:16" x14ac:dyDescent="0.25">
      <c r="D31" s="345"/>
      <c r="E31" s="345"/>
      <c r="F31" s="345"/>
      <c r="H31" s="340" t="s">
        <v>338</v>
      </c>
      <c r="I31" s="340" t="s">
        <v>43</v>
      </c>
      <c r="J31" s="340" t="s">
        <v>52</v>
      </c>
      <c r="K31" s="340" t="s">
        <v>72</v>
      </c>
      <c r="L31" s="342">
        <v>0</v>
      </c>
      <c r="M31" s="342">
        <v>1134.44</v>
      </c>
      <c r="N31" s="342">
        <v>0</v>
      </c>
    </row>
    <row r="32" spans="1:16" x14ac:dyDescent="0.25">
      <c r="H32" s="340" t="s">
        <v>338</v>
      </c>
      <c r="I32" s="340" t="s">
        <v>43</v>
      </c>
      <c r="J32" s="340" t="s">
        <v>55</v>
      </c>
      <c r="K32" s="340" t="s">
        <v>182</v>
      </c>
      <c r="L32" s="342">
        <v>0</v>
      </c>
      <c r="M32" s="342">
        <v>0</v>
      </c>
      <c r="N32" s="342">
        <v>292.95</v>
      </c>
    </row>
    <row r="33" spans="8:14" x14ac:dyDescent="0.25">
      <c r="H33" s="340" t="s">
        <v>338</v>
      </c>
      <c r="I33" s="340" t="s">
        <v>43</v>
      </c>
      <c r="J33" s="340" t="s">
        <v>55</v>
      </c>
      <c r="K33" s="340" t="s">
        <v>72</v>
      </c>
      <c r="L33" s="342">
        <v>0</v>
      </c>
      <c r="M33" s="342">
        <v>107.38</v>
      </c>
      <c r="N33" s="342">
        <v>0.68</v>
      </c>
    </row>
    <row r="34" spans="8:14" x14ac:dyDescent="0.25">
      <c r="H34" s="340" t="s">
        <v>338</v>
      </c>
      <c r="I34" s="340" t="s">
        <v>45</v>
      </c>
      <c r="J34" s="340" t="s">
        <v>55</v>
      </c>
      <c r="K34" s="340" t="s">
        <v>183</v>
      </c>
      <c r="L34" s="342">
        <v>424.67</v>
      </c>
      <c r="M34" s="342">
        <v>840.32</v>
      </c>
      <c r="N34" s="342">
        <v>11498.98</v>
      </c>
    </row>
    <row r="35" spans="8:14" x14ac:dyDescent="0.25">
      <c r="H35" s="340" t="s">
        <v>338</v>
      </c>
      <c r="I35" s="340" t="s">
        <v>45</v>
      </c>
      <c r="J35" s="340" t="s">
        <v>55</v>
      </c>
      <c r="K35" s="340" t="s">
        <v>72</v>
      </c>
      <c r="L35" s="342">
        <v>182.79</v>
      </c>
      <c r="M35" s="342">
        <v>57.71</v>
      </c>
      <c r="N35" s="342">
        <v>476.47</v>
      </c>
    </row>
    <row r="36" spans="8:14" x14ac:dyDescent="0.25">
      <c r="H36" s="340" t="s">
        <v>338</v>
      </c>
      <c r="I36" s="340" t="s">
        <v>46</v>
      </c>
      <c r="J36" s="340" t="s">
        <v>52</v>
      </c>
      <c r="K36" s="340" t="s">
        <v>240</v>
      </c>
      <c r="L36" s="342">
        <v>0</v>
      </c>
      <c r="M36" s="342">
        <v>0</v>
      </c>
      <c r="N36" s="342">
        <v>4053.84</v>
      </c>
    </row>
    <row r="37" spans="8:14" x14ac:dyDescent="0.25">
      <c r="H37" s="340" t="s">
        <v>338</v>
      </c>
      <c r="I37" s="340" t="s">
        <v>46</v>
      </c>
      <c r="J37" s="340" t="s">
        <v>55</v>
      </c>
      <c r="K37" s="340" t="s">
        <v>183</v>
      </c>
      <c r="L37" s="342">
        <v>0</v>
      </c>
      <c r="M37" s="342">
        <v>527.33000000000004</v>
      </c>
      <c r="N37" s="342">
        <v>1374.53</v>
      </c>
    </row>
    <row r="38" spans="8:14" x14ac:dyDescent="0.25">
      <c r="H38" s="340" t="s">
        <v>338</v>
      </c>
      <c r="I38" s="340" t="s">
        <v>50</v>
      </c>
      <c r="J38" s="340" t="s">
        <v>52</v>
      </c>
      <c r="K38" s="340" t="s">
        <v>178</v>
      </c>
      <c r="L38" s="342">
        <v>0</v>
      </c>
      <c r="M38" s="342">
        <v>0</v>
      </c>
      <c r="N38" s="342">
        <v>326.69</v>
      </c>
    </row>
    <row r="39" spans="8:14" x14ac:dyDescent="0.25">
      <c r="H39" s="340" t="s">
        <v>338</v>
      </c>
      <c r="I39" s="340" t="s">
        <v>50</v>
      </c>
      <c r="J39" s="340" t="s">
        <v>52</v>
      </c>
      <c r="K39" s="340" t="s">
        <v>332</v>
      </c>
      <c r="L39" s="342">
        <v>0</v>
      </c>
      <c r="M39" s="342">
        <v>0</v>
      </c>
      <c r="N39" s="342">
        <v>1253.23</v>
      </c>
    </row>
    <row r="40" spans="8:14" x14ac:dyDescent="0.25">
      <c r="H40" s="340" t="s">
        <v>338</v>
      </c>
      <c r="I40" s="340" t="s">
        <v>50</v>
      </c>
      <c r="J40" s="340" t="s">
        <v>52</v>
      </c>
      <c r="K40" s="340" t="s">
        <v>210</v>
      </c>
      <c r="L40" s="342">
        <v>0</v>
      </c>
      <c r="M40" s="342">
        <v>0</v>
      </c>
      <c r="N40" s="342">
        <v>1451.29</v>
      </c>
    </row>
    <row r="41" spans="8:14" x14ac:dyDescent="0.25">
      <c r="H41" s="340" t="s">
        <v>338</v>
      </c>
      <c r="I41" s="340" t="s">
        <v>50</v>
      </c>
      <c r="J41" s="340" t="s">
        <v>52</v>
      </c>
      <c r="K41" s="340" t="s">
        <v>72</v>
      </c>
      <c r="L41" s="342">
        <v>0</v>
      </c>
      <c r="M41" s="342">
        <v>317.89999999999998</v>
      </c>
      <c r="N41" s="342">
        <v>1.57</v>
      </c>
    </row>
    <row r="42" spans="8:14" x14ac:dyDescent="0.25">
      <c r="H42" s="340" t="s">
        <v>338</v>
      </c>
      <c r="I42" s="340" t="s">
        <v>50</v>
      </c>
      <c r="J42" s="340" t="s">
        <v>55</v>
      </c>
      <c r="K42" s="340" t="s">
        <v>67</v>
      </c>
      <c r="L42" s="342">
        <v>0</v>
      </c>
      <c r="M42" s="342">
        <v>0</v>
      </c>
      <c r="N42" s="342">
        <v>177.37</v>
      </c>
    </row>
    <row r="43" spans="8:14" x14ac:dyDescent="0.25">
      <c r="H43" s="340" t="s">
        <v>338</v>
      </c>
      <c r="I43" s="340" t="s">
        <v>50</v>
      </c>
      <c r="J43" s="340" t="s">
        <v>55</v>
      </c>
      <c r="K43" s="340" t="s">
        <v>183</v>
      </c>
      <c r="L43" s="342">
        <v>0</v>
      </c>
      <c r="M43" s="342">
        <v>86.69</v>
      </c>
      <c r="N43" s="342">
        <v>280.97000000000003</v>
      </c>
    </row>
    <row r="44" spans="8:14" x14ac:dyDescent="0.25">
      <c r="H44" s="340" t="s">
        <v>338</v>
      </c>
      <c r="I44" s="340" t="s">
        <v>50</v>
      </c>
      <c r="J44" s="340" t="s">
        <v>55</v>
      </c>
      <c r="K44" s="340" t="s">
        <v>337</v>
      </c>
      <c r="L44" s="342">
        <v>0</v>
      </c>
      <c r="M44" s="342">
        <v>0</v>
      </c>
      <c r="N44" s="342">
        <v>235.86</v>
      </c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T43"/>
  <sheetViews>
    <sheetView zoomScale="80" zoomScaleNormal="80" workbookViewId="0">
      <selection sqref="A1:F1"/>
    </sheetView>
  </sheetViews>
  <sheetFormatPr defaultColWidth="9.140625" defaultRowHeight="15" x14ac:dyDescent="0.25"/>
  <cols>
    <col min="1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20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20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20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20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20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20" x14ac:dyDescent="0.25">
      <c r="G6" s="337"/>
    </row>
    <row r="7" spans="1:20" x14ac:dyDescent="0.25"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20" x14ac:dyDescent="0.25">
      <c r="A8" s="339" t="s">
        <v>32</v>
      </c>
      <c r="B8" s="339" t="s">
        <v>33</v>
      </c>
      <c r="C8" s="339" t="s">
        <v>40</v>
      </c>
      <c r="D8" s="339" t="s">
        <v>34</v>
      </c>
      <c r="E8" s="339" t="s">
        <v>35</v>
      </c>
      <c r="F8" s="339" t="s">
        <v>103</v>
      </c>
      <c r="H8" s="340" t="s">
        <v>338</v>
      </c>
      <c r="I8" s="340" t="s">
        <v>21</v>
      </c>
      <c r="J8" s="340" t="s">
        <v>21</v>
      </c>
      <c r="K8" s="340" t="s">
        <v>21</v>
      </c>
      <c r="L8" s="341">
        <v>9465.39</v>
      </c>
      <c r="M8" s="341">
        <v>14076.61</v>
      </c>
      <c r="N8" s="341">
        <v>17112.27</v>
      </c>
      <c r="S8" s="370"/>
      <c r="T8" s="391"/>
    </row>
    <row r="9" spans="1:20" x14ac:dyDescent="0.25">
      <c r="A9" s="340" t="s">
        <v>338</v>
      </c>
      <c r="B9" s="340" t="s">
        <v>38</v>
      </c>
      <c r="C9" s="340" t="s">
        <v>3</v>
      </c>
      <c r="D9" s="342">
        <v>0</v>
      </c>
      <c r="E9" s="342">
        <v>0</v>
      </c>
      <c r="F9" s="342">
        <v>6531.57</v>
      </c>
      <c r="H9" s="343" t="s">
        <v>338</v>
      </c>
      <c r="I9" s="343" t="s">
        <v>21</v>
      </c>
      <c r="J9" s="343" t="s">
        <v>52</v>
      </c>
      <c r="K9" s="343" t="s">
        <v>209</v>
      </c>
      <c r="L9" s="344">
        <v>5621.47</v>
      </c>
      <c r="M9" s="344">
        <v>2414.52</v>
      </c>
      <c r="N9" s="344">
        <v>21262.07</v>
      </c>
    </row>
    <row r="10" spans="1:20" x14ac:dyDescent="0.25">
      <c r="A10" s="340" t="s">
        <v>338</v>
      </c>
      <c r="B10" s="340" t="s">
        <v>38</v>
      </c>
      <c r="C10" s="340" t="s">
        <v>323</v>
      </c>
      <c r="D10" s="342">
        <v>5847.87</v>
      </c>
      <c r="E10" s="342">
        <v>2959.83</v>
      </c>
      <c r="F10" s="342">
        <v>13.05</v>
      </c>
      <c r="G10" s="345"/>
      <c r="H10" s="343" t="s">
        <v>338</v>
      </c>
      <c r="I10" s="343" t="s">
        <v>21</v>
      </c>
      <c r="J10" s="343" t="s">
        <v>52</v>
      </c>
      <c r="K10" s="343" t="s">
        <v>178</v>
      </c>
      <c r="L10" s="344">
        <v>6757.65</v>
      </c>
      <c r="M10" s="344">
        <v>11895.31</v>
      </c>
      <c r="N10" s="344">
        <v>62289.39</v>
      </c>
    </row>
    <row r="11" spans="1:20" x14ac:dyDescent="0.25">
      <c r="A11" s="340" t="s">
        <v>338</v>
      </c>
      <c r="B11" s="340" t="s">
        <v>38</v>
      </c>
      <c r="C11" s="340" t="s">
        <v>41</v>
      </c>
      <c r="D11" s="342">
        <v>79671.58</v>
      </c>
      <c r="E11" s="342">
        <v>108612.67</v>
      </c>
      <c r="F11" s="342">
        <v>556215.53</v>
      </c>
      <c r="G11" s="345"/>
      <c r="H11" s="343" t="s">
        <v>338</v>
      </c>
      <c r="I11" s="343" t="s">
        <v>21</v>
      </c>
      <c r="J11" s="343" t="s">
        <v>52</v>
      </c>
      <c r="K11" s="343" t="s">
        <v>332</v>
      </c>
      <c r="L11" s="344">
        <v>1055.7</v>
      </c>
      <c r="M11" s="344">
        <v>428.22</v>
      </c>
      <c r="N11" s="344">
        <v>9683.5400000000009</v>
      </c>
    </row>
    <row r="12" spans="1:20" x14ac:dyDescent="0.25">
      <c r="A12" s="340" t="s">
        <v>338</v>
      </c>
      <c r="B12" s="340" t="s">
        <v>39</v>
      </c>
      <c r="C12" s="340" t="s">
        <v>41</v>
      </c>
      <c r="D12" s="342">
        <v>20683.13</v>
      </c>
      <c r="E12" s="342">
        <v>22979.31</v>
      </c>
      <c r="F12" s="342">
        <v>151657.93</v>
      </c>
      <c r="H12" s="343" t="s">
        <v>338</v>
      </c>
      <c r="I12" s="343" t="s">
        <v>21</v>
      </c>
      <c r="J12" s="343" t="s">
        <v>52</v>
      </c>
      <c r="K12" s="343" t="s">
        <v>210</v>
      </c>
      <c r="L12" s="344">
        <v>2799.36</v>
      </c>
      <c r="M12" s="344">
        <v>1412.25</v>
      </c>
      <c r="N12" s="344">
        <v>100629.93</v>
      </c>
    </row>
    <row r="13" spans="1:20" x14ac:dyDescent="0.25">
      <c r="H13" s="343" t="s">
        <v>338</v>
      </c>
      <c r="I13" s="343" t="s">
        <v>21</v>
      </c>
      <c r="J13" s="343" t="s">
        <v>52</v>
      </c>
      <c r="K13" s="343" t="s">
        <v>72</v>
      </c>
      <c r="L13" s="344">
        <v>11767.9</v>
      </c>
      <c r="M13" s="344">
        <v>8329.52</v>
      </c>
      <c r="N13" s="344">
        <v>13881.09</v>
      </c>
      <c r="O13" s="346">
        <f>SUM(L9:N13)</f>
        <v>260227.91999999995</v>
      </c>
      <c r="P13" s="347" t="s">
        <v>52</v>
      </c>
    </row>
    <row r="14" spans="1:20" x14ac:dyDescent="0.25">
      <c r="H14" s="348" t="s">
        <v>338</v>
      </c>
      <c r="I14" s="348" t="s">
        <v>21</v>
      </c>
      <c r="J14" s="348" t="s">
        <v>52</v>
      </c>
      <c r="K14" s="348" t="s">
        <v>240</v>
      </c>
      <c r="L14" s="349">
        <v>4016.96</v>
      </c>
      <c r="M14" s="349">
        <v>758.52</v>
      </c>
      <c r="N14" s="349">
        <v>85441.21</v>
      </c>
      <c r="O14" s="350">
        <f>SUM(L14:N14)</f>
        <v>90216.69</v>
      </c>
      <c r="P14" s="351" t="s">
        <v>253</v>
      </c>
    </row>
    <row r="15" spans="1:20" x14ac:dyDescent="0.25">
      <c r="H15" s="352" t="s">
        <v>338</v>
      </c>
      <c r="I15" s="352" t="s">
        <v>21</v>
      </c>
      <c r="J15" s="352" t="s">
        <v>55</v>
      </c>
      <c r="K15" s="352" t="s">
        <v>182</v>
      </c>
      <c r="L15" s="353">
        <v>272.86</v>
      </c>
      <c r="M15" s="353">
        <v>351.51</v>
      </c>
      <c r="N15" s="353">
        <v>7268.85</v>
      </c>
    </row>
    <row r="16" spans="1:20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338</v>
      </c>
      <c r="I16" s="352" t="s">
        <v>21</v>
      </c>
      <c r="J16" s="352" t="s">
        <v>55</v>
      </c>
      <c r="K16" s="352" t="s">
        <v>65</v>
      </c>
      <c r="L16" s="353">
        <v>0</v>
      </c>
      <c r="M16" s="353">
        <v>31.09</v>
      </c>
      <c r="N16" s="353">
        <v>0</v>
      </c>
    </row>
    <row r="17" spans="1:16" x14ac:dyDescent="0.25">
      <c r="A17" s="336" t="s">
        <v>38</v>
      </c>
      <c r="B17" s="359">
        <f>SUM(D11:F11)</f>
        <v>744499.78</v>
      </c>
      <c r="D17" s="502" t="s">
        <v>81</v>
      </c>
      <c r="E17" s="502"/>
      <c r="F17" s="360">
        <f>O13/B21</f>
        <v>0.27244076663976713</v>
      </c>
      <c r="H17" s="352" t="s">
        <v>338</v>
      </c>
      <c r="I17" s="352" t="s">
        <v>21</v>
      </c>
      <c r="J17" s="352" t="s">
        <v>55</v>
      </c>
      <c r="K17" s="352" t="s">
        <v>54</v>
      </c>
      <c r="L17" s="353">
        <v>835.62</v>
      </c>
      <c r="M17" s="353">
        <v>445.43</v>
      </c>
      <c r="N17" s="353">
        <v>5251.86</v>
      </c>
    </row>
    <row r="18" spans="1:16" x14ac:dyDescent="0.25">
      <c r="A18" s="336" t="s">
        <v>39</v>
      </c>
      <c r="B18" s="359">
        <f>SUM(D12:F12)</f>
        <v>195320.37</v>
      </c>
      <c r="D18" s="481" t="s">
        <v>253</v>
      </c>
      <c r="E18" s="481"/>
      <c r="F18" s="360">
        <f>O14/B21</f>
        <v>9.4450680723660307E-2</v>
      </c>
      <c r="H18" s="352" t="s">
        <v>338</v>
      </c>
      <c r="I18" s="352" t="s">
        <v>21</v>
      </c>
      <c r="J18" s="352" t="s">
        <v>55</v>
      </c>
      <c r="K18" s="352" t="s">
        <v>66</v>
      </c>
      <c r="L18" s="353">
        <v>0</v>
      </c>
      <c r="M18" s="353">
        <v>0</v>
      </c>
      <c r="N18" s="353">
        <v>204.98</v>
      </c>
    </row>
    <row r="19" spans="1:16" x14ac:dyDescent="0.25">
      <c r="A19" s="336" t="s">
        <v>2</v>
      </c>
      <c r="B19" s="359">
        <f>SUM(D10:F10)</f>
        <v>8820.75</v>
      </c>
      <c r="D19" s="336" t="s">
        <v>78</v>
      </c>
      <c r="F19" s="360">
        <f>O23/B21</f>
        <v>0.10432693898725953</v>
      </c>
      <c r="H19" s="352" t="s">
        <v>338</v>
      </c>
      <c r="I19" s="352" t="s">
        <v>21</v>
      </c>
      <c r="J19" s="352" t="s">
        <v>55</v>
      </c>
      <c r="K19" s="352" t="s">
        <v>67</v>
      </c>
      <c r="L19" s="353">
        <v>0</v>
      </c>
      <c r="M19" s="353">
        <v>287.48</v>
      </c>
      <c r="N19" s="353">
        <v>287.64</v>
      </c>
    </row>
    <row r="20" spans="1:16" x14ac:dyDescent="0.25">
      <c r="A20" s="336" t="s">
        <v>3</v>
      </c>
      <c r="B20" s="359">
        <f>SUM(D9:F9)</f>
        <v>6531.57</v>
      </c>
      <c r="D20" s="481" t="s">
        <v>42</v>
      </c>
      <c r="E20" s="481"/>
      <c r="F20" s="360">
        <f>O43/B21</f>
        <v>0.45138783156093276</v>
      </c>
      <c r="H20" s="352" t="s">
        <v>338</v>
      </c>
      <c r="I20" s="352" t="s">
        <v>21</v>
      </c>
      <c r="J20" s="352" t="s">
        <v>55</v>
      </c>
      <c r="K20" s="352" t="s">
        <v>68</v>
      </c>
      <c r="L20" s="353">
        <v>974.06</v>
      </c>
      <c r="M20" s="353">
        <v>914.42</v>
      </c>
      <c r="N20" s="353">
        <v>22839.47</v>
      </c>
    </row>
    <row r="21" spans="1:16" ht="15.75" thickBot="1" x14ac:dyDescent="0.3">
      <c r="A21" s="361"/>
      <c r="B21" s="362">
        <f>SUM(B17:B20)</f>
        <v>955172.47</v>
      </c>
      <c r="F21" s="363">
        <f>SUM(F17:F20)</f>
        <v>0.92260621791161967</v>
      </c>
      <c r="H21" s="352" t="s">
        <v>338</v>
      </c>
      <c r="I21" s="352" t="s">
        <v>21</v>
      </c>
      <c r="J21" s="352" t="s">
        <v>55</v>
      </c>
      <c r="K21" s="352" t="s">
        <v>183</v>
      </c>
      <c r="L21" s="353">
        <v>788.75</v>
      </c>
      <c r="M21" s="353">
        <v>1513.13</v>
      </c>
      <c r="N21" s="353">
        <v>13614.41</v>
      </c>
    </row>
    <row r="22" spans="1:16" x14ac:dyDescent="0.25">
      <c r="E22" s="393" t="s">
        <v>356</v>
      </c>
      <c r="F22" s="394">
        <v>199</v>
      </c>
      <c r="H22" s="352" t="s">
        <v>338</v>
      </c>
      <c r="I22" s="352" t="s">
        <v>21</v>
      </c>
      <c r="J22" s="352" t="s">
        <v>55</v>
      </c>
      <c r="K22" s="352" t="s">
        <v>337</v>
      </c>
      <c r="L22" s="353">
        <v>0</v>
      </c>
      <c r="M22" s="353">
        <v>0</v>
      </c>
      <c r="N22" s="353">
        <v>952.67</v>
      </c>
    </row>
    <row r="23" spans="1:16" x14ac:dyDescent="0.25">
      <c r="H23" s="352" t="s">
        <v>338</v>
      </c>
      <c r="I23" s="352" t="s">
        <v>21</v>
      </c>
      <c r="J23" s="352" t="s">
        <v>55</v>
      </c>
      <c r="K23" s="352" t="s">
        <v>72</v>
      </c>
      <c r="L23" s="353">
        <v>5017.59</v>
      </c>
      <c r="M23" s="353">
        <v>9162.59</v>
      </c>
      <c r="N23" s="353">
        <v>28635.81</v>
      </c>
      <c r="O23" s="364">
        <f>SUM(L15:N23)</f>
        <v>99650.219999999987</v>
      </c>
      <c r="P23" s="365" t="s">
        <v>85</v>
      </c>
    </row>
    <row r="24" spans="1:16" x14ac:dyDescent="0.25">
      <c r="H24" s="366" t="s">
        <v>338</v>
      </c>
      <c r="I24" s="366" t="s">
        <v>43</v>
      </c>
      <c r="J24" s="366" t="s">
        <v>21</v>
      </c>
      <c r="K24" s="366" t="s">
        <v>21</v>
      </c>
      <c r="L24" s="367">
        <v>23157.58</v>
      </c>
      <c r="M24" s="367">
        <v>39719.08</v>
      </c>
      <c r="N24" s="367">
        <v>95084.75</v>
      </c>
    </row>
    <row r="25" spans="1:16" x14ac:dyDescent="0.25">
      <c r="H25" s="366" t="s">
        <v>338</v>
      </c>
      <c r="I25" s="366" t="s">
        <v>43</v>
      </c>
      <c r="J25" s="366" t="s">
        <v>52</v>
      </c>
      <c r="K25" s="366" t="s">
        <v>178</v>
      </c>
      <c r="L25" s="367"/>
      <c r="M25" s="367"/>
      <c r="N25" s="367"/>
    </row>
    <row r="26" spans="1:16" x14ac:dyDescent="0.25">
      <c r="H26" s="366" t="s">
        <v>338</v>
      </c>
      <c r="I26" s="366" t="s">
        <v>43</v>
      </c>
      <c r="J26" s="366" t="s">
        <v>55</v>
      </c>
      <c r="K26" s="366" t="s">
        <v>54</v>
      </c>
      <c r="L26" s="367"/>
      <c r="M26" s="367"/>
      <c r="N26" s="367"/>
    </row>
    <row r="27" spans="1:16" x14ac:dyDescent="0.25">
      <c r="H27" s="366" t="s">
        <v>338</v>
      </c>
      <c r="I27" s="366" t="s">
        <v>43</v>
      </c>
      <c r="J27" s="366" t="s">
        <v>55</v>
      </c>
      <c r="K27" s="366" t="s">
        <v>183</v>
      </c>
      <c r="L27" s="367"/>
      <c r="M27" s="367"/>
      <c r="N27" s="367"/>
    </row>
    <row r="28" spans="1:16" x14ac:dyDescent="0.25">
      <c r="H28" s="366" t="s">
        <v>338</v>
      </c>
      <c r="I28" s="366" t="s">
        <v>43</v>
      </c>
      <c r="J28" s="366" t="s">
        <v>55</v>
      </c>
      <c r="K28" s="366" t="s">
        <v>72</v>
      </c>
      <c r="L28" s="367"/>
      <c r="M28" s="367"/>
      <c r="N28" s="367"/>
    </row>
    <row r="29" spans="1:16" x14ac:dyDescent="0.25">
      <c r="H29" s="366" t="s">
        <v>338</v>
      </c>
      <c r="I29" s="366" t="s">
        <v>45</v>
      </c>
      <c r="J29" s="366" t="s">
        <v>21</v>
      </c>
      <c r="K29" s="366" t="s">
        <v>21</v>
      </c>
      <c r="L29" s="367">
        <v>21027.46</v>
      </c>
      <c r="M29" s="367">
        <v>22921.68</v>
      </c>
      <c r="N29" s="367">
        <v>151722.34</v>
      </c>
    </row>
    <row r="30" spans="1:16" x14ac:dyDescent="0.25">
      <c r="D30" s="345"/>
      <c r="E30" s="345"/>
      <c r="F30" s="345"/>
      <c r="H30" s="366" t="s">
        <v>338</v>
      </c>
      <c r="I30" s="366" t="s">
        <v>45</v>
      </c>
      <c r="J30" s="366" t="s">
        <v>52</v>
      </c>
      <c r="K30" s="366" t="s">
        <v>72</v>
      </c>
      <c r="L30" s="367"/>
      <c r="M30" s="367"/>
      <c r="N30" s="367"/>
    </row>
    <row r="31" spans="1:16" x14ac:dyDescent="0.25">
      <c r="D31" s="345"/>
      <c r="E31" s="345"/>
      <c r="F31" s="345"/>
      <c r="H31" s="366" t="s">
        <v>338</v>
      </c>
      <c r="I31" s="366" t="s">
        <v>45</v>
      </c>
      <c r="J31" s="366" t="s">
        <v>55</v>
      </c>
      <c r="K31" s="366" t="s">
        <v>183</v>
      </c>
      <c r="L31" s="367"/>
      <c r="M31" s="367"/>
      <c r="N31" s="367"/>
    </row>
    <row r="32" spans="1:16" x14ac:dyDescent="0.25">
      <c r="H32" s="366" t="s">
        <v>338</v>
      </c>
      <c r="I32" s="366" t="s">
        <v>45</v>
      </c>
      <c r="J32" s="366" t="s">
        <v>55</v>
      </c>
      <c r="K32" s="366" t="s">
        <v>72</v>
      </c>
      <c r="L32" s="367"/>
      <c r="M32" s="367"/>
      <c r="N32" s="367"/>
    </row>
    <row r="33" spans="8:16" x14ac:dyDescent="0.25">
      <c r="H33" s="366" t="s">
        <v>338</v>
      </c>
      <c r="I33" s="366" t="s">
        <v>46</v>
      </c>
      <c r="J33" s="366" t="s">
        <v>21</v>
      </c>
      <c r="K33" s="366" t="s">
        <v>21</v>
      </c>
      <c r="L33" s="367">
        <v>5540.76</v>
      </c>
      <c r="M33" s="367">
        <v>10568.83</v>
      </c>
      <c r="N33" s="367">
        <v>47896.51</v>
      </c>
    </row>
    <row r="34" spans="8:16" x14ac:dyDescent="0.25">
      <c r="H34" s="366" t="s">
        <v>338</v>
      </c>
      <c r="I34" s="366" t="s">
        <v>46</v>
      </c>
      <c r="J34" s="366" t="s">
        <v>52</v>
      </c>
      <c r="K34" s="366" t="s">
        <v>178</v>
      </c>
      <c r="L34" s="367"/>
      <c r="M34" s="367"/>
      <c r="N34" s="367"/>
    </row>
    <row r="35" spans="8:16" x14ac:dyDescent="0.25">
      <c r="H35" s="366" t="s">
        <v>338</v>
      </c>
      <c r="I35" s="366" t="s">
        <v>46</v>
      </c>
      <c r="J35" s="366" t="s">
        <v>52</v>
      </c>
      <c r="K35" s="366" t="s">
        <v>240</v>
      </c>
      <c r="L35" s="367"/>
      <c r="M35" s="367"/>
      <c r="N35" s="367"/>
    </row>
    <row r="36" spans="8:16" x14ac:dyDescent="0.25">
      <c r="H36" s="366" t="s">
        <v>338</v>
      </c>
      <c r="I36" s="366" t="s">
        <v>46</v>
      </c>
      <c r="J36" s="366" t="s">
        <v>55</v>
      </c>
      <c r="K36" s="366" t="s">
        <v>183</v>
      </c>
      <c r="L36" s="367"/>
      <c r="M36" s="367"/>
      <c r="N36" s="367"/>
    </row>
    <row r="37" spans="8:16" x14ac:dyDescent="0.25">
      <c r="H37" s="366" t="s">
        <v>338</v>
      </c>
      <c r="I37" s="366" t="s">
        <v>50</v>
      </c>
      <c r="J37" s="366" t="s">
        <v>21</v>
      </c>
      <c r="K37" s="366" t="s">
        <v>21</v>
      </c>
      <c r="L37" s="367">
        <v>4067.03</v>
      </c>
      <c r="M37" s="367">
        <v>4148.2700000000004</v>
      </c>
      <c r="N37" s="367">
        <v>5298.94</v>
      </c>
    </row>
    <row r="38" spans="8:16" x14ac:dyDescent="0.25">
      <c r="H38" s="366" t="s">
        <v>338</v>
      </c>
      <c r="I38" s="366" t="s">
        <v>50</v>
      </c>
      <c r="J38" s="366" t="s">
        <v>52</v>
      </c>
      <c r="K38" s="366" t="s">
        <v>178</v>
      </c>
      <c r="L38" s="367"/>
      <c r="M38" s="367"/>
      <c r="N38" s="367"/>
    </row>
    <row r="39" spans="8:16" x14ac:dyDescent="0.25">
      <c r="H39" s="366" t="s">
        <v>338</v>
      </c>
      <c r="I39" s="366" t="s">
        <v>50</v>
      </c>
      <c r="J39" s="366" t="s">
        <v>52</v>
      </c>
      <c r="K39" s="366" t="s">
        <v>210</v>
      </c>
      <c r="L39" s="367"/>
      <c r="M39" s="367"/>
      <c r="N39" s="367"/>
    </row>
    <row r="40" spans="8:16" x14ac:dyDescent="0.25">
      <c r="H40" s="366" t="s">
        <v>338</v>
      </c>
      <c r="I40" s="366" t="s">
        <v>50</v>
      </c>
      <c r="J40" s="366" t="s">
        <v>52</v>
      </c>
      <c r="K40" s="366" t="s">
        <v>72</v>
      </c>
      <c r="L40" s="367"/>
      <c r="M40" s="367"/>
      <c r="N40" s="367"/>
    </row>
    <row r="41" spans="8:16" x14ac:dyDescent="0.25">
      <c r="H41" s="366" t="s">
        <v>338</v>
      </c>
      <c r="I41" s="366" t="s">
        <v>50</v>
      </c>
      <c r="J41" s="366" t="s">
        <v>55</v>
      </c>
      <c r="K41" s="366" t="s">
        <v>54</v>
      </c>
      <c r="L41" s="367"/>
      <c r="M41" s="367"/>
      <c r="N41" s="367"/>
    </row>
    <row r="42" spans="8:16" x14ac:dyDescent="0.25">
      <c r="H42" s="366" t="s">
        <v>338</v>
      </c>
      <c r="I42" s="366" t="s">
        <v>50</v>
      </c>
      <c r="J42" s="366" t="s">
        <v>55</v>
      </c>
      <c r="K42" s="366" t="s">
        <v>183</v>
      </c>
      <c r="L42" s="367"/>
      <c r="M42" s="367"/>
      <c r="N42" s="367"/>
    </row>
    <row r="43" spans="8:16" x14ac:dyDescent="0.25">
      <c r="H43" s="366" t="s">
        <v>338</v>
      </c>
      <c r="I43" s="366" t="s">
        <v>50</v>
      </c>
      <c r="J43" s="366" t="s">
        <v>55</v>
      </c>
      <c r="K43" s="366" t="s">
        <v>72</v>
      </c>
      <c r="L43" s="367"/>
      <c r="M43" s="367"/>
      <c r="N43" s="367"/>
      <c r="O43" s="368">
        <f>SUM(L24:N43)</f>
        <v>431153.2300000001</v>
      </c>
      <c r="P43" s="369" t="s">
        <v>84</v>
      </c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T42"/>
  <sheetViews>
    <sheetView zoomScaleNormal="100" workbookViewId="0">
      <selection activeCell="F22" sqref="F22"/>
    </sheetView>
  </sheetViews>
  <sheetFormatPr defaultColWidth="9.140625" defaultRowHeight="15" x14ac:dyDescent="0.25"/>
  <cols>
    <col min="1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20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20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20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20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20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20" x14ac:dyDescent="0.25">
      <c r="G6" s="337"/>
    </row>
    <row r="7" spans="1:20" x14ac:dyDescent="0.25"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20" x14ac:dyDescent="0.25">
      <c r="A8" s="339" t="s">
        <v>32</v>
      </c>
      <c r="B8" s="339" t="s">
        <v>33</v>
      </c>
      <c r="C8" s="339" t="s">
        <v>40</v>
      </c>
      <c r="D8" s="339" t="s">
        <v>34</v>
      </c>
      <c r="E8" s="339" t="s">
        <v>35</v>
      </c>
      <c r="F8" s="339" t="s">
        <v>103</v>
      </c>
      <c r="H8" s="340" t="s">
        <v>338</v>
      </c>
      <c r="I8" s="340" t="s">
        <v>21</v>
      </c>
      <c r="J8" s="340" t="s">
        <v>21</v>
      </c>
      <c r="K8" s="340" t="s">
        <v>21</v>
      </c>
      <c r="L8" s="341">
        <v>25640.9</v>
      </c>
      <c r="M8" s="341">
        <v>14197.64</v>
      </c>
      <c r="N8" s="341">
        <v>23122.66</v>
      </c>
      <c r="S8" s="370"/>
      <c r="T8" s="391"/>
    </row>
    <row r="9" spans="1:20" x14ac:dyDescent="0.25">
      <c r="A9" s="340" t="s">
        <v>338</v>
      </c>
      <c r="B9" s="340" t="s">
        <v>38</v>
      </c>
      <c r="C9" s="340" t="s">
        <v>3</v>
      </c>
      <c r="D9" s="342">
        <v>0</v>
      </c>
      <c r="E9" s="342">
        <v>269.89</v>
      </c>
      <c r="F9" s="342">
        <v>6749.41</v>
      </c>
      <c r="H9" s="343" t="s">
        <v>338</v>
      </c>
      <c r="I9" s="343" t="s">
        <v>21</v>
      </c>
      <c r="J9" s="343" t="s">
        <v>52</v>
      </c>
      <c r="K9" s="343" t="s">
        <v>209</v>
      </c>
      <c r="L9" s="344">
        <v>3610.16</v>
      </c>
      <c r="M9" s="344">
        <v>0</v>
      </c>
      <c r="N9" s="344">
        <v>4407.34</v>
      </c>
    </row>
    <row r="10" spans="1:20" x14ac:dyDescent="0.25">
      <c r="A10" s="340" t="s">
        <v>338</v>
      </c>
      <c r="B10" s="340" t="s">
        <v>38</v>
      </c>
      <c r="C10" s="340" t="s">
        <v>323</v>
      </c>
      <c r="D10" s="342">
        <v>2959.83</v>
      </c>
      <c r="E10" s="342">
        <v>0.05</v>
      </c>
      <c r="F10" s="342">
        <v>13.05</v>
      </c>
      <c r="G10" s="345"/>
      <c r="H10" s="343" t="s">
        <v>338</v>
      </c>
      <c r="I10" s="343" t="s">
        <v>21</v>
      </c>
      <c r="J10" s="343" t="s">
        <v>52</v>
      </c>
      <c r="K10" s="343" t="s">
        <v>178</v>
      </c>
      <c r="L10" s="344">
        <v>16838.41</v>
      </c>
      <c r="M10" s="344">
        <v>22668.46</v>
      </c>
      <c r="N10" s="344">
        <v>70549.119999999995</v>
      </c>
    </row>
    <row r="11" spans="1:20" x14ac:dyDescent="0.25">
      <c r="A11" s="340" t="s">
        <v>338</v>
      </c>
      <c r="B11" s="340" t="s">
        <v>38</v>
      </c>
      <c r="C11" s="340" t="s">
        <v>41</v>
      </c>
      <c r="D11" s="342">
        <v>143104.64000000001</v>
      </c>
      <c r="E11" s="342">
        <v>87255.93</v>
      </c>
      <c r="F11" s="342">
        <v>530009.73</v>
      </c>
      <c r="G11" s="345"/>
      <c r="H11" s="343" t="s">
        <v>338</v>
      </c>
      <c r="I11" s="343" t="s">
        <v>21</v>
      </c>
      <c r="J11" s="343" t="s">
        <v>52</v>
      </c>
      <c r="K11" s="343" t="s">
        <v>332</v>
      </c>
      <c r="L11" s="344">
        <v>585.69000000000005</v>
      </c>
      <c r="M11" s="344">
        <v>547.27</v>
      </c>
      <c r="N11" s="344">
        <v>6780.55</v>
      </c>
    </row>
    <row r="12" spans="1:20" x14ac:dyDescent="0.25">
      <c r="A12" s="340" t="s">
        <v>338</v>
      </c>
      <c r="B12" s="340" t="s">
        <v>39</v>
      </c>
      <c r="C12" s="340" t="s">
        <v>41</v>
      </c>
      <c r="D12" s="342">
        <v>36374.080000000002</v>
      </c>
      <c r="E12" s="342">
        <v>22983.15</v>
      </c>
      <c r="F12" s="342">
        <v>144846.70000000001</v>
      </c>
      <c r="H12" s="343" t="s">
        <v>338</v>
      </c>
      <c r="I12" s="343" t="s">
        <v>21</v>
      </c>
      <c r="J12" s="343" t="s">
        <v>52</v>
      </c>
      <c r="K12" s="343" t="s">
        <v>210</v>
      </c>
      <c r="L12" s="344">
        <v>2764.61</v>
      </c>
      <c r="M12" s="344">
        <v>5455.78</v>
      </c>
      <c r="N12" s="344">
        <v>98257.76</v>
      </c>
    </row>
    <row r="13" spans="1:20" x14ac:dyDescent="0.25">
      <c r="H13" s="343" t="s">
        <v>338</v>
      </c>
      <c r="I13" s="343" t="s">
        <v>43</v>
      </c>
      <c r="J13" s="343" t="s">
        <v>52</v>
      </c>
      <c r="K13" s="343" t="s">
        <v>178</v>
      </c>
      <c r="L13" s="344">
        <v>0</v>
      </c>
      <c r="M13" s="344">
        <v>704.41</v>
      </c>
      <c r="N13" s="344">
        <v>1939.44</v>
      </c>
    </row>
    <row r="14" spans="1:20" x14ac:dyDescent="0.25">
      <c r="H14" s="343" t="s">
        <v>338</v>
      </c>
      <c r="I14" s="343" t="s">
        <v>43</v>
      </c>
      <c r="J14" s="343" t="s">
        <v>52</v>
      </c>
      <c r="K14" s="343" t="s">
        <v>332</v>
      </c>
      <c r="L14" s="344">
        <v>0</v>
      </c>
      <c r="M14" s="344">
        <v>438.4</v>
      </c>
      <c r="N14" s="344">
        <v>786.94</v>
      </c>
    </row>
    <row r="15" spans="1:20" x14ac:dyDescent="0.25">
      <c r="H15" s="343" t="s">
        <v>338</v>
      </c>
      <c r="I15" s="343" t="s">
        <v>46</v>
      </c>
      <c r="J15" s="343" t="s">
        <v>52</v>
      </c>
      <c r="K15" s="343" t="s">
        <v>240</v>
      </c>
      <c r="L15" s="344">
        <v>0</v>
      </c>
      <c r="M15" s="344">
        <v>457.49</v>
      </c>
      <c r="N15" s="344">
        <v>3918.59</v>
      </c>
    </row>
    <row r="16" spans="1:20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43" t="s">
        <v>338</v>
      </c>
      <c r="I16" s="343" t="s">
        <v>50</v>
      </c>
      <c r="J16" s="343" t="s">
        <v>52</v>
      </c>
      <c r="K16" s="343" t="s">
        <v>178</v>
      </c>
      <c r="L16" s="344">
        <v>668.97</v>
      </c>
      <c r="M16" s="344">
        <v>1646.74</v>
      </c>
      <c r="N16" s="344">
        <v>1765.68</v>
      </c>
    </row>
    <row r="17" spans="1:16" x14ac:dyDescent="0.25">
      <c r="A17" s="336" t="s">
        <v>38</v>
      </c>
      <c r="B17" s="359">
        <f>SUM(D11:F11)</f>
        <v>760370.3</v>
      </c>
      <c r="D17" s="502" t="s">
        <v>81</v>
      </c>
      <c r="E17" s="502"/>
      <c r="F17" s="360">
        <f>O17/B21</f>
        <v>0.25118021196830431</v>
      </c>
      <c r="H17" s="343" t="s">
        <v>338</v>
      </c>
      <c r="I17" s="343" t="s">
        <v>50</v>
      </c>
      <c r="J17" s="343" t="s">
        <v>52</v>
      </c>
      <c r="K17" s="343" t="s">
        <v>72</v>
      </c>
      <c r="L17" s="344">
        <v>0</v>
      </c>
      <c r="M17" s="344">
        <v>0</v>
      </c>
      <c r="N17" s="344">
        <v>0</v>
      </c>
      <c r="O17" s="346">
        <f>SUM(L9:N17)</f>
        <v>244791.81</v>
      </c>
      <c r="P17" s="347" t="s">
        <v>52</v>
      </c>
    </row>
    <row r="18" spans="1:16" x14ac:dyDescent="0.25">
      <c r="A18" s="336" t="s">
        <v>39</v>
      </c>
      <c r="B18" s="359">
        <f>SUM(D12:F12)</f>
        <v>204203.93000000002</v>
      </c>
      <c r="D18" s="481" t="s">
        <v>253</v>
      </c>
      <c r="E18" s="481"/>
      <c r="F18" s="360">
        <f>O19/B21</f>
        <v>0.11245510131756431</v>
      </c>
      <c r="H18" s="348" t="s">
        <v>338</v>
      </c>
      <c r="I18" s="348" t="s">
        <v>21</v>
      </c>
      <c r="J18" s="348" t="s">
        <v>52</v>
      </c>
      <c r="K18" s="348" t="s">
        <v>240</v>
      </c>
      <c r="L18" s="349">
        <v>974.81</v>
      </c>
      <c r="M18" s="349">
        <v>1240.69</v>
      </c>
      <c r="N18" s="349">
        <v>84914.17</v>
      </c>
    </row>
    <row r="19" spans="1:16" x14ac:dyDescent="0.25">
      <c r="A19" s="336" t="s">
        <v>2</v>
      </c>
      <c r="B19" s="359">
        <f>SUM(D10:F10)</f>
        <v>2972.9300000000003</v>
      </c>
      <c r="D19" s="336" t="s">
        <v>78</v>
      </c>
      <c r="F19" s="360">
        <f>O37/B21</f>
        <v>8.2082170158000289E-2</v>
      </c>
      <c r="H19" s="348" t="s">
        <v>338</v>
      </c>
      <c r="I19" s="348" t="s">
        <v>21</v>
      </c>
      <c r="J19" s="348" t="s">
        <v>52</v>
      </c>
      <c r="K19" s="348" t="s">
        <v>72</v>
      </c>
      <c r="L19" s="349">
        <v>10098.049999999999</v>
      </c>
      <c r="M19" s="349">
        <v>7262.81</v>
      </c>
      <c r="N19" s="349">
        <v>5104.4399999999996</v>
      </c>
      <c r="O19" s="350">
        <f>SUM(L18:N19)</f>
        <v>109594.97</v>
      </c>
      <c r="P19" s="351" t="s">
        <v>253</v>
      </c>
    </row>
    <row r="20" spans="1:16" x14ac:dyDescent="0.25">
      <c r="A20" s="336" t="s">
        <v>3</v>
      </c>
      <c r="B20" s="359">
        <f>SUM(D9:F9)</f>
        <v>7019.3</v>
      </c>
      <c r="D20" s="481" t="s">
        <v>42</v>
      </c>
      <c r="E20" s="481"/>
      <c r="F20" s="360">
        <f>O42/B21</f>
        <v>0.48967820008909385</v>
      </c>
      <c r="H20" s="352" t="s">
        <v>338</v>
      </c>
      <c r="I20" s="352" t="s">
        <v>21</v>
      </c>
      <c r="J20" s="352" t="s">
        <v>55</v>
      </c>
      <c r="K20" s="352" t="s">
        <v>339</v>
      </c>
      <c r="L20" s="353">
        <v>0</v>
      </c>
      <c r="M20" s="353">
        <v>0</v>
      </c>
      <c r="N20" s="353">
        <v>0</v>
      </c>
    </row>
    <row r="21" spans="1:16" ht="15.75" thickBot="1" x14ac:dyDescent="0.3">
      <c r="A21" s="361"/>
      <c r="B21" s="362">
        <f>SUM(B17:B20)</f>
        <v>974566.4600000002</v>
      </c>
      <c r="F21" s="363">
        <f>SUM(F17:F20)</f>
        <v>0.93539568353296276</v>
      </c>
      <c r="H21" s="352" t="s">
        <v>338</v>
      </c>
      <c r="I21" s="352" t="s">
        <v>21</v>
      </c>
      <c r="J21" s="352" t="s">
        <v>55</v>
      </c>
      <c r="K21" s="352" t="s">
        <v>182</v>
      </c>
      <c r="L21" s="353">
        <v>82.8</v>
      </c>
      <c r="M21" s="353">
        <v>99.78</v>
      </c>
      <c r="N21" s="353">
        <v>586.45000000000005</v>
      </c>
    </row>
    <row r="22" spans="1:16" x14ac:dyDescent="0.25">
      <c r="E22" s="393" t="s">
        <v>356</v>
      </c>
      <c r="F22" s="394">
        <v>199</v>
      </c>
      <c r="G22" s="336" t="s">
        <v>357</v>
      </c>
      <c r="H22" s="352" t="s">
        <v>338</v>
      </c>
      <c r="I22" s="352" t="s">
        <v>21</v>
      </c>
      <c r="J22" s="352" t="s">
        <v>55</v>
      </c>
      <c r="K22" s="352" t="s">
        <v>54</v>
      </c>
      <c r="L22" s="353">
        <v>2207.3200000000002</v>
      </c>
      <c r="M22" s="353">
        <v>1303.94</v>
      </c>
      <c r="N22" s="353">
        <v>2382.36</v>
      </c>
    </row>
    <row r="23" spans="1:16" x14ac:dyDescent="0.25">
      <c r="H23" s="352" t="s">
        <v>338</v>
      </c>
      <c r="I23" s="352" t="s">
        <v>21</v>
      </c>
      <c r="J23" s="352" t="s">
        <v>55</v>
      </c>
      <c r="K23" s="352" t="s">
        <v>66</v>
      </c>
      <c r="L23" s="353">
        <v>252.43</v>
      </c>
      <c r="M23" s="353">
        <v>115.61</v>
      </c>
      <c r="N23" s="353">
        <v>2498.5700000000002</v>
      </c>
    </row>
    <row r="24" spans="1:16" x14ac:dyDescent="0.25">
      <c r="H24" s="352" t="s">
        <v>338</v>
      </c>
      <c r="I24" s="352" t="s">
        <v>21</v>
      </c>
      <c r="J24" s="352" t="s">
        <v>55</v>
      </c>
      <c r="K24" s="352" t="s">
        <v>67</v>
      </c>
      <c r="L24" s="353">
        <v>979.39</v>
      </c>
      <c r="M24" s="353">
        <v>340.78</v>
      </c>
      <c r="N24" s="353">
        <v>1240.1300000000001</v>
      </c>
    </row>
    <row r="25" spans="1:16" x14ac:dyDescent="0.25">
      <c r="H25" s="352" t="s">
        <v>338</v>
      </c>
      <c r="I25" s="352" t="s">
        <v>21</v>
      </c>
      <c r="J25" s="352" t="s">
        <v>55</v>
      </c>
      <c r="K25" s="352" t="s">
        <v>68</v>
      </c>
      <c r="L25" s="353">
        <v>99.86</v>
      </c>
      <c r="M25" s="353">
        <v>1089.83</v>
      </c>
      <c r="N25" s="353">
        <v>1311.63</v>
      </c>
    </row>
    <row r="26" spans="1:16" x14ac:dyDescent="0.25">
      <c r="H26" s="352" t="s">
        <v>338</v>
      </c>
      <c r="I26" s="352" t="s">
        <v>21</v>
      </c>
      <c r="J26" s="352" t="s">
        <v>55</v>
      </c>
      <c r="K26" s="352" t="s">
        <v>183</v>
      </c>
      <c r="L26" s="353">
        <v>2796.12</v>
      </c>
      <c r="M26" s="353">
        <v>2204.61</v>
      </c>
      <c r="N26" s="353">
        <v>18053.14</v>
      </c>
    </row>
    <row r="27" spans="1:16" x14ac:dyDescent="0.25">
      <c r="H27" s="352" t="s">
        <v>338</v>
      </c>
      <c r="I27" s="352" t="s">
        <v>21</v>
      </c>
      <c r="J27" s="352" t="s">
        <v>55</v>
      </c>
      <c r="K27" s="352" t="s">
        <v>337</v>
      </c>
      <c r="L27" s="353">
        <v>0</v>
      </c>
      <c r="M27" s="353">
        <v>201.43</v>
      </c>
      <c r="N27" s="353">
        <v>347.65</v>
      </c>
    </row>
    <row r="28" spans="1:16" x14ac:dyDescent="0.25">
      <c r="H28" s="352" t="s">
        <v>338</v>
      </c>
      <c r="I28" s="352" t="s">
        <v>21</v>
      </c>
      <c r="J28" s="352" t="s">
        <v>55</v>
      </c>
      <c r="K28" s="352" t="s">
        <v>72</v>
      </c>
      <c r="L28" s="353">
        <v>4877.6400000000003</v>
      </c>
      <c r="M28" s="353">
        <v>5279.05</v>
      </c>
      <c r="N28" s="353">
        <v>14726.32</v>
      </c>
    </row>
    <row r="29" spans="1:16" x14ac:dyDescent="0.25">
      <c r="H29" s="352" t="s">
        <v>338</v>
      </c>
      <c r="I29" s="352" t="s">
        <v>43</v>
      </c>
      <c r="J29" s="352" t="s">
        <v>55</v>
      </c>
      <c r="K29" s="352" t="s">
        <v>68</v>
      </c>
      <c r="L29" s="353">
        <v>0</v>
      </c>
      <c r="M29" s="353">
        <v>0</v>
      </c>
      <c r="N29" s="353">
        <v>108.39</v>
      </c>
    </row>
    <row r="30" spans="1:16" x14ac:dyDescent="0.25">
      <c r="D30" s="345"/>
      <c r="E30" s="345"/>
      <c r="F30" s="345"/>
      <c r="H30" s="352" t="s">
        <v>338</v>
      </c>
      <c r="I30" s="352" t="s">
        <v>43</v>
      </c>
      <c r="J30" s="352" t="s">
        <v>55</v>
      </c>
      <c r="K30" s="352" t="s">
        <v>183</v>
      </c>
      <c r="L30" s="353">
        <v>49.56</v>
      </c>
      <c r="M30" s="353">
        <v>0</v>
      </c>
      <c r="N30" s="353">
        <v>533.19000000000005</v>
      </c>
    </row>
    <row r="31" spans="1:16" x14ac:dyDescent="0.25">
      <c r="D31" s="345"/>
      <c r="E31" s="345"/>
      <c r="F31" s="345"/>
      <c r="H31" s="352" t="s">
        <v>338</v>
      </c>
      <c r="I31" s="352" t="s">
        <v>45</v>
      </c>
      <c r="J31" s="352" t="s">
        <v>55</v>
      </c>
      <c r="K31" s="352" t="s">
        <v>183</v>
      </c>
      <c r="L31" s="353">
        <v>1575.63</v>
      </c>
      <c r="M31" s="353">
        <v>998.26</v>
      </c>
      <c r="N31" s="353">
        <v>11086.84</v>
      </c>
    </row>
    <row r="32" spans="1:16" x14ac:dyDescent="0.25">
      <c r="H32" s="352" t="s">
        <v>338</v>
      </c>
      <c r="I32" s="352" t="s">
        <v>45</v>
      </c>
      <c r="J32" s="352" t="s">
        <v>55</v>
      </c>
      <c r="K32" s="352" t="s">
        <v>72</v>
      </c>
      <c r="L32" s="353">
        <v>243.48</v>
      </c>
      <c r="M32" s="353">
        <v>0</v>
      </c>
      <c r="N32" s="353">
        <v>559.16</v>
      </c>
    </row>
    <row r="33" spans="8:16" x14ac:dyDescent="0.25">
      <c r="H33" s="352" t="s">
        <v>338</v>
      </c>
      <c r="I33" s="352" t="s">
        <v>46</v>
      </c>
      <c r="J33" s="352" t="s">
        <v>55</v>
      </c>
      <c r="K33" s="352" t="s">
        <v>68</v>
      </c>
      <c r="L33" s="353">
        <v>0</v>
      </c>
      <c r="M33" s="353">
        <v>341</v>
      </c>
      <c r="N33" s="353">
        <v>0</v>
      </c>
    </row>
    <row r="34" spans="8:16" x14ac:dyDescent="0.25">
      <c r="H34" s="352" t="s">
        <v>338</v>
      </c>
      <c r="I34" s="352" t="s">
        <v>46</v>
      </c>
      <c r="J34" s="352" t="s">
        <v>55</v>
      </c>
      <c r="K34" s="352" t="s">
        <v>183</v>
      </c>
      <c r="L34" s="353">
        <v>0</v>
      </c>
      <c r="M34" s="353">
        <v>0</v>
      </c>
      <c r="N34" s="353">
        <v>465.64</v>
      </c>
    </row>
    <row r="35" spans="8:16" x14ac:dyDescent="0.25">
      <c r="H35" s="352" t="s">
        <v>338</v>
      </c>
      <c r="I35" s="352" t="s">
        <v>50</v>
      </c>
      <c r="J35" s="352" t="s">
        <v>55</v>
      </c>
      <c r="K35" s="352" t="s">
        <v>182</v>
      </c>
      <c r="L35" s="353">
        <v>116.47</v>
      </c>
      <c r="M35" s="353">
        <v>0</v>
      </c>
      <c r="N35" s="353">
        <v>356.33</v>
      </c>
    </row>
    <row r="36" spans="8:16" x14ac:dyDescent="0.25">
      <c r="H36" s="352" t="s">
        <v>338</v>
      </c>
      <c r="I36" s="352" t="s">
        <v>50</v>
      </c>
      <c r="J36" s="352" t="s">
        <v>55</v>
      </c>
      <c r="K36" s="352" t="s">
        <v>54</v>
      </c>
      <c r="L36" s="353">
        <v>216.41</v>
      </c>
      <c r="M36" s="353">
        <v>0</v>
      </c>
      <c r="N36" s="353">
        <v>189.12</v>
      </c>
    </row>
    <row r="37" spans="8:16" x14ac:dyDescent="0.25">
      <c r="H37" s="352" t="s">
        <v>338</v>
      </c>
      <c r="I37" s="352" t="s">
        <v>50</v>
      </c>
      <c r="J37" s="352" t="s">
        <v>55</v>
      </c>
      <c r="K37" s="352" t="s">
        <v>183</v>
      </c>
      <c r="L37" s="353">
        <v>0</v>
      </c>
      <c r="M37" s="353">
        <v>14.14</v>
      </c>
      <c r="N37" s="353">
        <v>64.069999999999993</v>
      </c>
      <c r="O37" s="364">
        <f>SUM(L20:N37)</f>
        <v>79994.53</v>
      </c>
      <c r="P37" s="365" t="s">
        <v>85</v>
      </c>
    </row>
    <row r="38" spans="8:16" x14ac:dyDescent="0.25">
      <c r="H38" s="366" t="s">
        <v>338</v>
      </c>
      <c r="I38" s="366" t="s">
        <v>43</v>
      </c>
      <c r="J38" s="366" t="s">
        <v>21</v>
      </c>
      <c r="K38" s="366" t="s">
        <v>21</v>
      </c>
      <c r="L38" s="367">
        <v>51544.76</v>
      </c>
      <c r="M38" s="367">
        <v>12224.79</v>
      </c>
      <c r="N38" s="367">
        <v>131267.91</v>
      </c>
    </row>
    <row r="39" spans="8:16" x14ac:dyDescent="0.25">
      <c r="H39" s="366" t="s">
        <v>338</v>
      </c>
      <c r="I39" s="366" t="s">
        <v>45</v>
      </c>
      <c r="J39" s="366" t="s">
        <v>21</v>
      </c>
      <c r="K39" s="366" t="s">
        <v>21</v>
      </c>
      <c r="L39" s="367">
        <v>31107.93</v>
      </c>
      <c r="M39" s="367">
        <v>17488.689999999999</v>
      </c>
      <c r="N39" s="367">
        <v>146615.51999999999</v>
      </c>
    </row>
    <row r="40" spans="8:16" x14ac:dyDescent="0.25">
      <c r="H40" s="366" t="s">
        <v>338</v>
      </c>
      <c r="I40" s="366" t="s">
        <v>46</v>
      </c>
      <c r="J40" s="366" t="s">
        <v>21</v>
      </c>
      <c r="K40" s="366" t="s">
        <v>21</v>
      </c>
      <c r="L40" s="367">
        <v>13057.93</v>
      </c>
      <c r="M40" s="367">
        <v>11439.24</v>
      </c>
      <c r="N40" s="367">
        <v>42949.59</v>
      </c>
    </row>
    <row r="41" spans="8:16" x14ac:dyDescent="0.25">
      <c r="H41" s="366" t="s">
        <v>338</v>
      </c>
      <c r="I41" s="366" t="s">
        <v>47</v>
      </c>
      <c r="J41" s="366" t="s">
        <v>21</v>
      </c>
      <c r="K41" s="366" t="s">
        <v>21</v>
      </c>
      <c r="L41" s="367">
        <v>0</v>
      </c>
      <c r="M41" s="367">
        <v>0</v>
      </c>
      <c r="N41" s="367">
        <v>0</v>
      </c>
    </row>
    <row r="42" spans="8:16" x14ac:dyDescent="0.25">
      <c r="H42" s="366" t="s">
        <v>338</v>
      </c>
      <c r="I42" s="366" t="s">
        <v>50</v>
      </c>
      <c r="J42" s="366" t="s">
        <v>21</v>
      </c>
      <c r="K42" s="366" t="s">
        <v>21</v>
      </c>
      <c r="L42" s="367">
        <v>12049.22</v>
      </c>
      <c r="M42" s="367">
        <v>2748.18</v>
      </c>
      <c r="N42" s="367">
        <v>4730.1899999999996</v>
      </c>
      <c r="O42" s="368">
        <f>SUM(L38:N42)</f>
        <v>477223.94999999995</v>
      </c>
      <c r="P42" s="369" t="s">
        <v>84</v>
      </c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T76"/>
  <sheetViews>
    <sheetView zoomScaleNormal="100" workbookViewId="0">
      <selection sqref="A1:F1"/>
    </sheetView>
  </sheetViews>
  <sheetFormatPr defaultColWidth="9.140625" defaultRowHeight="15" x14ac:dyDescent="0.25"/>
  <cols>
    <col min="1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5703125" style="336" bestFit="1" customWidth="1"/>
    <col min="16" max="16" width="21.7109375" style="336" bestFit="1" customWidth="1"/>
    <col min="17" max="18" width="9.140625" style="336"/>
    <col min="19" max="19" width="10.140625" style="336" bestFit="1" customWidth="1"/>
    <col min="20" max="16384" width="9.140625" style="336"/>
  </cols>
  <sheetData>
    <row r="1" spans="1:20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20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20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20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20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20" x14ac:dyDescent="0.25">
      <c r="G6" s="337"/>
    </row>
    <row r="7" spans="1:20" x14ac:dyDescent="0.25"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20" x14ac:dyDescent="0.25">
      <c r="A8" s="339" t="s">
        <v>32</v>
      </c>
      <c r="B8" s="339" t="s">
        <v>33</v>
      </c>
      <c r="C8" s="339" t="s">
        <v>40</v>
      </c>
      <c r="D8" s="339" t="s">
        <v>34</v>
      </c>
      <c r="E8" s="339" t="s">
        <v>35</v>
      </c>
      <c r="F8" s="339" t="s">
        <v>103</v>
      </c>
      <c r="H8" s="343" t="s">
        <v>338</v>
      </c>
      <c r="I8" s="343" t="s">
        <v>21</v>
      </c>
      <c r="J8" s="343" t="s">
        <v>21</v>
      </c>
      <c r="K8" s="343" t="s">
        <v>21</v>
      </c>
      <c r="L8" s="344">
        <v>18130.62</v>
      </c>
      <c r="M8" s="344">
        <v>7146.55</v>
      </c>
      <c r="N8" s="344">
        <v>23009.95</v>
      </c>
      <c r="S8" s="370"/>
      <c r="T8" s="391"/>
    </row>
    <row r="9" spans="1:20" x14ac:dyDescent="0.25">
      <c r="A9" s="340" t="s">
        <v>338</v>
      </c>
      <c r="B9" s="340" t="s">
        <v>38</v>
      </c>
      <c r="C9" s="340" t="s">
        <v>3</v>
      </c>
      <c r="D9" s="342">
        <v>307.94</v>
      </c>
      <c r="E9" s="342">
        <v>0</v>
      </c>
      <c r="F9" s="342">
        <v>6749.41</v>
      </c>
      <c r="H9" s="343" t="s">
        <v>338</v>
      </c>
      <c r="I9" s="343" t="s">
        <v>21</v>
      </c>
      <c r="J9" s="343" t="s">
        <v>52</v>
      </c>
      <c r="K9" s="343" t="s">
        <v>209</v>
      </c>
      <c r="L9" s="344">
        <v>0</v>
      </c>
      <c r="M9" s="344">
        <v>277.31</v>
      </c>
      <c r="N9" s="344">
        <v>4106.84</v>
      </c>
    </row>
    <row r="10" spans="1:20" x14ac:dyDescent="0.25">
      <c r="A10" s="340" t="s">
        <v>338</v>
      </c>
      <c r="B10" s="340" t="s">
        <v>38</v>
      </c>
      <c r="C10" s="340" t="s">
        <v>323</v>
      </c>
      <c r="D10" s="342">
        <v>130.4</v>
      </c>
      <c r="E10" s="342">
        <v>2625.04</v>
      </c>
      <c r="F10" s="342">
        <v>0</v>
      </c>
      <c r="G10" s="345"/>
      <c r="H10" s="343" t="s">
        <v>338</v>
      </c>
      <c r="I10" s="343" t="s">
        <v>21</v>
      </c>
      <c r="J10" s="343" t="s">
        <v>52</v>
      </c>
      <c r="K10" s="343" t="s">
        <v>178</v>
      </c>
      <c r="L10" s="344">
        <v>30693.31</v>
      </c>
      <c r="M10" s="344">
        <v>3794</v>
      </c>
      <c r="N10" s="344">
        <v>80204.679999999993</v>
      </c>
    </row>
    <row r="11" spans="1:20" x14ac:dyDescent="0.25">
      <c r="A11" s="340" t="s">
        <v>338</v>
      </c>
      <c r="B11" s="340" t="s">
        <v>38</v>
      </c>
      <c r="C11" s="340" t="s">
        <v>41</v>
      </c>
      <c r="D11" s="342">
        <v>115736.16</v>
      </c>
      <c r="E11" s="342">
        <v>58088.800000000003</v>
      </c>
      <c r="F11" s="342">
        <v>535402.66</v>
      </c>
      <c r="G11" s="345"/>
      <c r="H11" s="343" t="s">
        <v>338</v>
      </c>
      <c r="I11" s="343" t="s">
        <v>21</v>
      </c>
      <c r="J11" s="343" t="s">
        <v>52</v>
      </c>
      <c r="K11" s="343" t="s">
        <v>332</v>
      </c>
      <c r="L11" s="344">
        <v>677.57</v>
      </c>
      <c r="M11" s="344">
        <v>372.81</v>
      </c>
      <c r="N11" s="344">
        <v>6894.1</v>
      </c>
    </row>
    <row r="12" spans="1:20" x14ac:dyDescent="0.25">
      <c r="A12" s="340" t="s">
        <v>338</v>
      </c>
      <c r="B12" s="340" t="s">
        <v>39</v>
      </c>
      <c r="C12" s="340" t="s">
        <v>41</v>
      </c>
      <c r="D12" s="342">
        <v>26245.81</v>
      </c>
      <c r="E12" s="342">
        <v>7450.5</v>
      </c>
      <c r="F12" s="342">
        <v>156481.74</v>
      </c>
      <c r="H12" s="343" t="s">
        <v>338</v>
      </c>
      <c r="I12" s="343" t="s">
        <v>21</v>
      </c>
      <c r="J12" s="343" t="s">
        <v>52</v>
      </c>
      <c r="K12" s="343" t="s">
        <v>210</v>
      </c>
      <c r="L12" s="344">
        <v>5462.9</v>
      </c>
      <c r="M12" s="344">
        <v>3071.99</v>
      </c>
      <c r="N12" s="344">
        <v>97301.22</v>
      </c>
      <c r="O12" s="346">
        <f>SUM(L9:N12)</f>
        <v>232856.72999999998</v>
      </c>
      <c r="P12" s="347" t="s">
        <v>355</v>
      </c>
    </row>
    <row r="13" spans="1:20" x14ac:dyDescent="0.25">
      <c r="H13" s="348" t="s">
        <v>338</v>
      </c>
      <c r="I13" s="348" t="s">
        <v>21</v>
      </c>
      <c r="J13" s="348" t="s">
        <v>52</v>
      </c>
      <c r="K13" s="348" t="s">
        <v>240</v>
      </c>
      <c r="L13" s="349">
        <v>4284.26</v>
      </c>
      <c r="M13" s="349">
        <v>3980.1</v>
      </c>
      <c r="N13" s="349">
        <v>86964.41</v>
      </c>
    </row>
    <row r="14" spans="1:20" x14ac:dyDescent="0.25">
      <c r="H14" s="348" t="s">
        <v>338</v>
      </c>
      <c r="I14" s="348" t="s">
        <v>21</v>
      </c>
      <c r="J14" s="348" t="s">
        <v>52</v>
      </c>
      <c r="K14" s="348" t="s">
        <v>72</v>
      </c>
      <c r="L14" s="349">
        <v>9304.61</v>
      </c>
      <c r="M14" s="349">
        <v>52.17</v>
      </c>
      <c r="N14" s="349">
        <v>5665.75</v>
      </c>
      <c r="O14" s="350">
        <f>SUM(L13:N14)</f>
        <v>110251.3</v>
      </c>
      <c r="P14" s="351" t="s">
        <v>253</v>
      </c>
    </row>
    <row r="15" spans="1:20" x14ac:dyDescent="0.25">
      <c r="H15" s="352" t="s">
        <v>338</v>
      </c>
      <c r="I15" s="352" t="s">
        <v>21</v>
      </c>
      <c r="J15" s="352" t="s">
        <v>55</v>
      </c>
      <c r="K15" s="352" t="s">
        <v>182</v>
      </c>
      <c r="L15" s="353">
        <v>1512.34</v>
      </c>
      <c r="M15" s="353">
        <v>110.67</v>
      </c>
      <c r="N15" s="353">
        <v>2466.2399999999998</v>
      </c>
    </row>
    <row r="16" spans="1:20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338</v>
      </c>
      <c r="I16" s="352" t="s">
        <v>21</v>
      </c>
      <c r="J16" s="352" t="s">
        <v>55</v>
      </c>
      <c r="K16" s="352" t="s">
        <v>54</v>
      </c>
      <c r="L16" s="353">
        <v>2073.4299999999998</v>
      </c>
      <c r="M16" s="353">
        <v>1761.75</v>
      </c>
      <c r="N16" s="353">
        <v>4215.8100000000004</v>
      </c>
    </row>
    <row r="17" spans="1:16" x14ac:dyDescent="0.25">
      <c r="A17" s="336" t="s">
        <v>38</v>
      </c>
      <c r="B17" s="359">
        <f>SUM(D11:F11)</f>
        <v>709227.62000000011</v>
      </c>
      <c r="D17" s="502" t="s">
        <v>81</v>
      </c>
      <c r="E17" s="502"/>
      <c r="F17" s="360">
        <f>O12/B21</f>
        <v>0.25610646972565865</v>
      </c>
      <c r="H17" s="352" t="s">
        <v>338</v>
      </c>
      <c r="I17" s="352" t="s">
        <v>21</v>
      </c>
      <c r="J17" s="352" t="s">
        <v>55</v>
      </c>
      <c r="K17" s="352" t="s">
        <v>66</v>
      </c>
      <c r="L17" s="353">
        <v>0</v>
      </c>
      <c r="M17" s="353">
        <v>0</v>
      </c>
      <c r="N17" s="353">
        <v>225.47</v>
      </c>
    </row>
    <row r="18" spans="1:16" x14ac:dyDescent="0.25">
      <c r="A18" s="336" t="s">
        <v>39</v>
      </c>
      <c r="B18" s="359">
        <f>SUM(D12:F12)</f>
        <v>190178.05</v>
      </c>
      <c r="D18" s="481" t="s">
        <v>253</v>
      </c>
      <c r="E18" s="481"/>
      <c r="F18" s="360">
        <f>O14/B21</f>
        <v>0.12125941657629784</v>
      </c>
      <c r="H18" s="352" t="s">
        <v>338</v>
      </c>
      <c r="I18" s="352" t="s">
        <v>21</v>
      </c>
      <c r="J18" s="352" t="s">
        <v>55</v>
      </c>
      <c r="K18" s="352" t="s">
        <v>67</v>
      </c>
      <c r="L18" s="353">
        <v>1987.95</v>
      </c>
      <c r="M18" s="353">
        <v>560.49</v>
      </c>
      <c r="N18" s="353">
        <v>3549.07</v>
      </c>
    </row>
    <row r="19" spans="1:16" x14ac:dyDescent="0.25">
      <c r="A19" s="336" t="s">
        <v>2</v>
      </c>
      <c r="B19" s="359">
        <f>SUM(D10:F10)</f>
        <v>2755.44</v>
      </c>
      <c r="D19" s="336" t="s">
        <v>78</v>
      </c>
      <c r="F19" s="360">
        <f>O22/B21</f>
        <v>0.10431791057123936</v>
      </c>
      <c r="H19" s="352" t="s">
        <v>338</v>
      </c>
      <c r="I19" s="352" t="s">
        <v>21</v>
      </c>
      <c r="J19" s="352" t="s">
        <v>55</v>
      </c>
      <c r="K19" s="352" t="s">
        <v>68</v>
      </c>
      <c r="L19" s="353">
        <v>1192.5</v>
      </c>
      <c r="M19" s="353">
        <v>0</v>
      </c>
      <c r="N19" s="353">
        <v>22444.720000000001</v>
      </c>
    </row>
    <row r="20" spans="1:16" x14ac:dyDescent="0.25">
      <c r="A20" s="336" t="s">
        <v>3</v>
      </c>
      <c r="B20" s="359">
        <f>SUM(D9:F9)</f>
        <v>7057.3499999999995</v>
      </c>
      <c r="D20" s="481" t="s">
        <v>42</v>
      </c>
      <c r="E20" s="481"/>
      <c r="F20" s="360">
        <f>O37/B21</f>
        <v>0.46520782255124904</v>
      </c>
      <c r="H20" s="352" t="s">
        <v>338</v>
      </c>
      <c r="I20" s="352" t="s">
        <v>21</v>
      </c>
      <c r="J20" s="352" t="s">
        <v>55</v>
      </c>
      <c r="K20" s="352" t="s">
        <v>336</v>
      </c>
      <c r="L20" s="353">
        <v>0</v>
      </c>
      <c r="M20" s="353">
        <v>151.46</v>
      </c>
      <c r="N20" s="353">
        <v>2119.89</v>
      </c>
    </row>
    <row r="21" spans="1:16" ht="15.75" thickBot="1" x14ac:dyDescent="0.3">
      <c r="A21" s="361"/>
      <c r="B21" s="362">
        <f>SUM(B17:B20)</f>
        <v>909218.46000000008</v>
      </c>
      <c r="F21" s="363">
        <f>SUM(F17:F20)</f>
        <v>0.94689161942444489</v>
      </c>
      <c r="H21" s="352" t="s">
        <v>338</v>
      </c>
      <c r="I21" s="352" t="s">
        <v>21</v>
      </c>
      <c r="J21" s="352" t="s">
        <v>55</v>
      </c>
      <c r="K21" s="352" t="s">
        <v>183</v>
      </c>
      <c r="L21" s="353">
        <v>2791.46</v>
      </c>
      <c r="M21" s="353">
        <v>1859.93</v>
      </c>
      <c r="N21" s="353">
        <v>23346.03</v>
      </c>
    </row>
    <row r="22" spans="1:16" x14ac:dyDescent="0.25">
      <c r="H22" s="352" t="s">
        <v>338</v>
      </c>
      <c r="I22" s="352" t="s">
        <v>21</v>
      </c>
      <c r="J22" s="352" t="s">
        <v>55</v>
      </c>
      <c r="K22" s="352" t="s">
        <v>72</v>
      </c>
      <c r="L22" s="353">
        <v>7836.93</v>
      </c>
      <c r="M22" s="353">
        <v>1664.04</v>
      </c>
      <c r="N22" s="353">
        <v>12977.59</v>
      </c>
      <c r="O22" s="364">
        <f>SUM(L15:N22)</f>
        <v>94847.769999999975</v>
      </c>
      <c r="P22" s="365" t="s">
        <v>340</v>
      </c>
    </row>
    <row r="23" spans="1:16" x14ac:dyDescent="0.25">
      <c r="H23" s="366" t="s">
        <v>338</v>
      </c>
      <c r="I23" s="366" t="s">
        <v>43</v>
      </c>
      <c r="J23" s="366" t="s">
        <v>21</v>
      </c>
      <c r="K23" s="366" t="s">
        <v>21</v>
      </c>
      <c r="L23" s="367">
        <v>15535.42</v>
      </c>
      <c r="M23" s="367">
        <v>22836.71</v>
      </c>
      <c r="N23" s="367">
        <v>103350.94</v>
      </c>
    </row>
    <row r="24" spans="1:16" x14ac:dyDescent="0.25">
      <c r="H24" s="366" t="s">
        <v>338</v>
      </c>
      <c r="I24" s="366" t="s">
        <v>43</v>
      </c>
      <c r="J24" s="366" t="s">
        <v>52</v>
      </c>
      <c r="K24" s="366" t="s">
        <v>332</v>
      </c>
      <c r="L24" s="367">
        <v>438.4</v>
      </c>
      <c r="M24" s="367">
        <v>0</v>
      </c>
      <c r="N24" s="367">
        <v>786.94</v>
      </c>
    </row>
    <row r="25" spans="1:16" x14ac:dyDescent="0.25">
      <c r="H25" s="366" t="s">
        <v>338</v>
      </c>
      <c r="I25" s="366" t="s">
        <v>43</v>
      </c>
      <c r="J25" s="366" t="s">
        <v>55</v>
      </c>
      <c r="K25" s="366" t="s">
        <v>54</v>
      </c>
      <c r="L25" s="367">
        <v>30.13</v>
      </c>
      <c r="M25" s="367">
        <v>1.02</v>
      </c>
      <c r="N25" s="367">
        <v>31.65</v>
      </c>
    </row>
    <row r="26" spans="1:16" x14ac:dyDescent="0.25">
      <c r="H26" s="366" t="s">
        <v>338</v>
      </c>
      <c r="I26" s="366" t="s">
        <v>43</v>
      </c>
      <c r="J26" s="366" t="s">
        <v>55</v>
      </c>
      <c r="K26" s="366" t="s">
        <v>68</v>
      </c>
      <c r="L26" s="367">
        <v>0</v>
      </c>
      <c r="M26" s="367">
        <v>0</v>
      </c>
      <c r="N26" s="367">
        <v>1410.75</v>
      </c>
    </row>
    <row r="27" spans="1:16" x14ac:dyDescent="0.25">
      <c r="H27" s="366" t="s">
        <v>338</v>
      </c>
      <c r="I27" s="366" t="s">
        <v>43</v>
      </c>
      <c r="J27" s="366" t="s">
        <v>55</v>
      </c>
      <c r="K27" s="366" t="s">
        <v>183</v>
      </c>
      <c r="L27" s="367">
        <v>145.66</v>
      </c>
      <c r="M27" s="367">
        <v>248.32</v>
      </c>
      <c r="N27" s="367">
        <v>2213.67</v>
      </c>
    </row>
    <row r="28" spans="1:16" x14ac:dyDescent="0.25">
      <c r="H28" s="366" t="s">
        <v>338</v>
      </c>
      <c r="I28" s="366" t="s">
        <v>43</v>
      </c>
      <c r="J28" s="366" t="s">
        <v>55</v>
      </c>
      <c r="K28" s="366" t="s">
        <v>72</v>
      </c>
      <c r="L28" s="367">
        <v>323.43</v>
      </c>
      <c r="M28" s="367">
        <v>0</v>
      </c>
      <c r="N28" s="367">
        <v>588.08000000000004</v>
      </c>
    </row>
    <row r="29" spans="1:16" x14ac:dyDescent="0.25">
      <c r="H29" s="366" t="s">
        <v>338</v>
      </c>
      <c r="I29" s="366" t="s">
        <v>45</v>
      </c>
      <c r="J29" s="366" t="s">
        <v>21</v>
      </c>
      <c r="K29" s="366" t="s">
        <v>21</v>
      </c>
      <c r="L29" s="367">
        <v>17810.169999999998</v>
      </c>
      <c r="M29" s="367">
        <v>13332.08</v>
      </c>
      <c r="N29" s="367">
        <v>144995.96</v>
      </c>
    </row>
    <row r="30" spans="1:16" x14ac:dyDescent="0.25">
      <c r="D30" s="345"/>
      <c r="E30" s="345"/>
      <c r="F30" s="345"/>
      <c r="H30" s="366" t="s">
        <v>338</v>
      </c>
      <c r="I30" s="366" t="s">
        <v>45</v>
      </c>
      <c r="J30" s="366" t="s">
        <v>55</v>
      </c>
      <c r="K30" s="366" t="s">
        <v>183</v>
      </c>
      <c r="L30" s="367">
        <v>524.76</v>
      </c>
      <c r="M30" s="367">
        <v>102.8</v>
      </c>
      <c r="N30" s="367">
        <v>9110.92</v>
      </c>
    </row>
    <row r="31" spans="1:16" x14ac:dyDescent="0.25">
      <c r="D31" s="345"/>
      <c r="E31" s="345"/>
      <c r="F31" s="345"/>
      <c r="H31" s="366" t="s">
        <v>338</v>
      </c>
      <c r="I31" s="366" t="s">
        <v>45</v>
      </c>
      <c r="J31" s="366" t="s">
        <v>55</v>
      </c>
      <c r="K31" s="366" t="s">
        <v>72</v>
      </c>
      <c r="L31" s="367">
        <v>0</v>
      </c>
      <c r="M31" s="367">
        <v>0</v>
      </c>
      <c r="N31" s="367">
        <v>4015.67</v>
      </c>
    </row>
    <row r="32" spans="1:16" x14ac:dyDescent="0.25">
      <c r="H32" s="366" t="s">
        <v>338</v>
      </c>
      <c r="I32" s="366" t="s">
        <v>46</v>
      </c>
      <c r="J32" s="366" t="s">
        <v>21</v>
      </c>
      <c r="K32" s="366" t="s">
        <v>21</v>
      </c>
      <c r="L32" s="367">
        <v>13190</v>
      </c>
      <c r="M32" s="367">
        <v>2968.43</v>
      </c>
      <c r="N32" s="367">
        <v>49001.16</v>
      </c>
    </row>
    <row r="33" spans="8:16" x14ac:dyDescent="0.25">
      <c r="H33" s="366" t="s">
        <v>338</v>
      </c>
      <c r="I33" s="366" t="s">
        <v>46</v>
      </c>
      <c r="J33" s="366" t="s">
        <v>55</v>
      </c>
      <c r="K33" s="366" t="s">
        <v>183</v>
      </c>
      <c r="L33" s="367">
        <v>0</v>
      </c>
      <c r="M33" s="367">
        <v>0</v>
      </c>
      <c r="N33" s="367">
        <v>400.82</v>
      </c>
    </row>
    <row r="34" spans="8:16" x14ac:dyDescent="0.25">
      <c r="H34" s="366" t="s">
        <v>338</v>
      </c>
      <c r="I34" s="366" t="s">
        <v>46</v>
      </c>
      <c r="J34" s="366" t="s">
        <v>55</v>
      </c>
      <c r="K34" s="366" t="s">
        <v>72</v>
      </c>
      <c r="L34" s="367">
        <v>128</v>
      </c>
      <c r="M34" s="367">
        <v>0</v>
      </c>
      <c r="N34" s="367">
        <v>0</v>
      </c>
    </row>
    <row r="35" spans="8:16" x14ac:dyDescent="0.25">
      <c r="H35" s="366" t="s">
        <v>338</v>
      </c>
      <c r="I35" s="366" t="s">
        <v>50</v>
      </c>
      <c r="J35" s="366" t="s">
        <v>21</v>
      </c>
      <c r="K35" s="366" t="s">
        <v>21</v>
      </c>
      <c r="L35" s="367">
        <v>8346.4599999999991</v>
      </c>
      <c r="M35" s="367">
        <v>1955.96</v>
      </c>
      <c r="N35" s="367">
        <v>6666.42</v>
      </c>
    </row>
    <row r="36" spans="8:16" x14ac:dyDescent="0.25">
      <c r="H36" s="366" t="s">
        <v>338</v>
      </c>
      <c r="I36" s="366" t="s">
        <v>50</v>
      </c>
      <c r="J36" s="366" t="s">
        <v>52</v>
      </c>
      <c r="K36" s="366" t="s">
        <v>178</v>
      </c>
      <c r="L36" s="367">
        <v>0</v>
      </c>
      <c r="M36" s="367">
        <v>1915.75</v>
      </c>
      <c r="N36" s="367">
        <v>569.05999999999995</v>
      </c>
    </row>
    <row r="37" spans="8:16" x14ac:dyDescent="0.25">
      <c r="H37" s="366" t="s">
        <v>338</v>
      </c>
      <c r="I37" s="366" t="s">
        <v>50</v>
      </c>
      <c r="J37" s="366" t="s">
        <v>55</v>
      </c>
      <c r="K37" s="366" t="s">
        <v>54</v>
      </c>
      <c r="L37" s="367">
        <v>0</v>
      </c>
      <c r="M37" s="367">
        <v>0</v>
      </c>
      <c r="N37" s="367">
        <v>0</v>
      </c>
      <c r="O37" s="368">
        <f>SUM(L23:N37)</f>
        <v>422975.54</v>
      </c>
      <c r="P37" s="369" t="s">
        <v>84</v>
      </c>
    </row>
    <row r="46" spans="8:16" x14ac:dyDescent="0.25">
      <c r="H46" s="338" t="s">
        <v>32</v>
      </c>
      <c r="I46" s="338" t="s">
        <v>335</v>
      </c>
      <c r="J46" s="338" t="s">
        <v>51</v>
      </c>
      <c r="K46" s="338" t="s">
        <v>57</v>
      </c>
      <c r="L46" s="338" t="s">
        <v>34</v>
      </c>
      <c r="M46" s="338" t="s">
        <v>35</v>
      </c>
      <c r="N46" s="338" t="s">
        <v>103</v>
      </c>
    </row>
    <row r="47" spans="8:16" x14ac:dyDescent="0.25">
      <c r="H47" s="340" t="s">
        <v>338</v>
      </c>
      <c r="I47" s="340" t="s">
        <v>21</v>
      </c>
      <c r="J47" s="340" t="s">
        <v>21</v>
      </c>
      <c r="K47" s="340" t="s">
        <v>21</v>
      </c>
      <c r="L47" s="341">
        <v>15410.74</v>
      </c>
      <c r="M47" s="341">
        <v>20878.400000000001</v>
      </c>
      <c r="N47" s="341">
        <v>40228.9</v>
      </c>
    </row>
    <row r="48" spans="8:16" x14ac:dyDescent="0.25">
      <c r="H48" s="343" t="s">
        <v>338</v>
      </c>
      <c r="I48" s="343" t="s">
        <v>21</v>
      </c>
      <c r="J48" s="343" t="s">
        <v>52</v>
      </c>
      <c r="K48" s="343" t="s">
        <v>209</v>
      </c>
      <c r="L48" s="344">
        <v>277.31</v>
      </c>
      <c r="M48" s="344">
        <v>2473.02</v>
      </c>
      <c r="N48" s="344">
        <v>8288.39</v>
      </c>
    </row>
    <row r="49" spans="8:16" x14ac:dyDescent="0.25">
      <c r="H49" s="343" t="s">
        <v>338</v>
      </c>
      <c r="I49" s="343" t="s">
        <v>21</v>
      </c>
      <c r="J49" s="343" t="s">
        <v>52</v>
      </c>
      <c r="K49" s="343" t="s">
        <v>178</v>
      </c>
      <c r="L49" s="344">
        <v>12117.57</v>
      </c>
      <c r="M49" s="344">
        <v>22318.67</v>
      </c>
      <c r="N49" s="344">
        <v>91979.69</v>
      </c>
    </row>
    <row r="50" spans="8:16" x14ac:dyDescent="0.25">
      <c r="H50" s="343" t="s">
        <v>338</v>
      </c>
      <c r="I50" s="343" t="s">
        <v>21</v>
      </c>
      <c r="J50" s="343" t="s">
        <v>52</v>
      </c>
      <c r="K50" s="343" t="s">
        <v>332</v>
      </c>
      <c r="L50" s="344">
        <v>819.7</v>
      </c>
      <c r="M50" s="344">
        <v>207.45</v>
      </c>
      <c r="N50" s="344">
        <v>3877.28</v>
      </c>
    </row>
    <row r="51" spans="8:16" x14ac:dyDescent="0.25">
      <c r="H51" s="343" t="s">
        <v>338</v>
      </c>
      <c r="I51" s="343" t="s">
        <v>21</v>
      </c>
      <c r="J51" s="343" t="s">
        <v>52</v>
      </c>
      <c r="K51" s="343" t="s">
        <v>210</v>
      </c>
      <c r="L51" s="344">
        <v>3071.99</v>
      </c>
      <c r="M51" s="344">
        <v>7889.93</v>
      </c>
      <c r="N51" s="344">
        <v>139702.5</v>
      </c>
      <c r="O51" s="346">
        <f>SUM(L48:N51)</f>
        <v>293023.5</v>
      </c>
      <c r="P51" s="347" t="s">
        <v>52</v>
      </c>
    </row>
    <row r="52" spans="8:16" x14ac:dyDescent="0.25">
      <c r="H52" s="348" t="s">
        <v>338</v>
      </c>
      <c r="I52" s="348" t="s">
        <v>21</v>
      </c>
      <c r="J52" s="348" t="s">
        <v>52</v>
      </c>
      <c r="K52" s="348" t="s">
        <v>240</v>
      </c>
      <c r="L52" s="349">
        <v>3972.58</v>
      </c>
      <c r="M52" s="349">
        <v>1854.35</v>
      </c>
      <c r="N52" s="349">
        <v>86460.59</v>
      </c>
    </row>
    <row r="53" spans="8:16" x14ac:dyDescent="0.25">
      <c r="H53" s="348" t="s">
        <v>338</v>
      </c>
      <c r="I53" s="348" t="s">
        <v>21</v>
      </c>
      <c r="J53" s="348" t="s">
        <v>52</v>
      </c>
      <c r="K53" s="348" t="s">
        <v>72</v>
      </c>
      <c r="L53" s="349">
        <v>4118.1000000000004</v>
      </c>
      <c r="M53" s="349">
        <v>4108.99</v>
      </c>
      <c r="N53" s="349">
        <v>7290.33</v>
      </c>
      <c r="O53" s="392">
        <f>SUM(L52:N53)</f>
        <v>107804.94</v>
      </c>
      <c r="P53" s="351" t="s">
        <v>254</v>
      </c>
    </row>
    <row r="54" spans="8:16" x14ac:dyDescent="0.25">
      <c r="H54" s="352" t="s">
        <v>338</v>
      </c>
      <c r="I54" s="352" t="s">
        <v>21</v>
      </c>
      <c r="J54" s="352" t="s">
        <v>55</v>
      </c>
      <c r="K54" s="352" t="s">
        <v>182</v>
      </c>
      <c r="L54" s="353">
        <v>0</v>
      </c>
      <c r="M54" s="353">
        <v>1274.52</v>
      </c>
      <c r="N54" s="353">
        <v>907.6</v>
      </c>
    </row>
    <row r="55" spans="8:16" x14ac:dyDescent="0.25">
      <c r="H55" s="352" t="s">
        <v>338</v>
      </c>
      <c r="I55" s="352" t="s">
        <v>21</v>
      </c>
      <c r="J55" s="352" t="s">
        <v>55</v>
      </c>
      <c r="K55" s="352" t="s">
        <v>54</v>
      </c>
      <c r="L55" s="353">
        <v>501.23</v>
      </c>
      <c r="M55" s="353">
        <v>971.2</v>
      </c>
      <c r="N55" s="353">
        <v>8544.2900000000009</v>
      </c>
    </row>
    <row r="56" spans="8:16" x14ac:dyDescent="0.25">
      <c r="H56" s="352" t="s">
        <v>338</v>
      </c>
      <c r="I56" s="352" t="s">
        <v>21</v>
      </c>
      <c r="J56" s="352" t="s">
        <v>55</v>
      </c>
      <c r="K56" s="352" t="s">
        <v>66</v>
      </c>
      <c r="L56" s="353">
        <v>260.64</v>
      </c>
      <c r="M56" s="353">
        <v>0</v>
      </c>
      <c r="N56" s="353">
        <v>0</v>
      </c>
    </row>
    <row r="57" spans="8:16" x14ac:dyDescent="0.25">
      <c r="H57" s="352" t="s">
        <v>338</v>
      </c>
      <c r="I57" s="352" t="s">
        <v>21</v>
      </c>
      <c r="J57" s="352" t="s">
        <v>55</v>
      </c>
      <c r="K57" s="352" t="s">
        <v>67</v>
      </c>
      <c r="L57" s="353">
        <v>0</v>
      </c>
      <c r="M57" s="353">
        <v>1639.17</v>
      </c>
      <c r="N57" s="353">
        <v>1160.6300000000001</v>
      </c>
    </row>
    <row r="58" spans="8:16" x14ac:dyDescent="0.25">
      <c r="H58" s="352" t="s">
        <v>338</v>
      </c>
      <c r="I58" s="352" t="s">
        <v>21</v>
      </c>
      <c r="J58" s="352" t="s">
        <v>55</v>
      </c>
      <c r="K58" s="352" t="s">
        <v>183</v>
      </c>
      <c r="L58" s="353">
        <v>1073.31</v>
      </c>
      <c r="M58" s="353">
        <v>2124.75</v>
      </c>
      <c r="N58" s="353">
        <v>8458.5</v>
      </c>
    </row>
    <row r="59" spans="8:16" x14ac:dyDescent="0.25">
      <c r="H59" s="352" t="s">
        <v>338</v>
      </c>
      <c r="I59" s="352" t="s">
        <v>21</v>
      </c>
      <c r="J59" s="352" t="s">
        <v>55</v>
      </c>
      <c r="K59" s="352" t="s">
        <v>337</v>
      </c>
      <c r="L59" s="353">
        <v>514.92999999999995</v>
      </c>
      <c r="M59" s="353">
        <v>984.41</v>
      </c>
      <c r="N59" s="353">
        <v>8018.38</v>
      </c>
    </row>
    <row r="60" spans="8:16" x14ac:dyDescent="0.25">
      <c r="H60" s="352" t="s">
        <v>338</v>
      </c>
      <c r="I60" s="352" t="s">
        <v>21</v>
      </c>
      <c r="J60" s="352" t="s">
        <v>55</v>
      </c>
      <c r="K60" s="352" t="s">
        <v>72</v>
      </c>
      <c r="L60" s="353">
        <v>1617.02</v>
      </c>
      <c r="M60" s="353">
        <v>4574.67</v>
      </c>
      <c r="N60" s="353">
        <v>20231.009999999998</v>
      </c>
      <c r="O60" s="364">
        <f>SUM(L54:N60)</f>
        <v>62856.259999999995</v>
      </c>
      <c r="P60" s="365" t="s">
        <v>85</v>
      </c>
    </row>
    <row r="61" spans="8:16" x14ac:dyDescent="0.25">
      <c r="H61" s="366" t="s">
        <v>338</v>
      </c>
      <c r="I61" s="366" t="s">
        <v>43</v>
      </c>
      <c r="J61" s="366" t="s">
        <v>21</v>
      </c>
      <c r="K61" s="366" t="s">
        <v>21</v>
      </c>
      <c r="L61" s="367">
        <v>25636.62</v>
      </c>
      <c r="M61" s="367">
        <v>33218.629999999997</v>
      </c>
      <c r="N61" s="367">
        <v>73033.919999999998</v>
      </c>
    </row>
    <row r="62" spans="8:16" x14ac:dyDescent="0.25">
      <c r="H62" s="366" t="s">
        <v>338</v>
      </c>
      <c r="I62" s="366" t="s">
        <v>43</v>
      </c>
      <c r="J62" s="366" t="s">
        <v>55</v>
      </c>
      <c r="K62" s="366" t="s">
        <v>54</v>
      </c>
      <c r="L62" s="367">
        <v>0</v>
      </c>
      <c r="M62" s="367">
        <v>480.33</v>
      </c>
      <c r="N62" s="367">
        <v>930.42</v>
      </c>
    </row>
    <row r="63" spans="8:16" x14ac:dyDescent="0.25">
      <c r="H63" s="366" t="s">
        <v>338</v>
      </c>
      <c r="I63" s="366" t="s">
        <v>43</v>
      </c>
      <c r="J63" s="366" t="s">
        <v>55</v>
      </c>
      <c r="K63" s="366" t="s">
        <v>183</v>
      </c>
      <c r="L63" s="367">
        <v>189.22</v>
      </c>
      <c r="M63" s="367">
        <v>273.61</v>
      </c>
      <c r="N63" s="367">
        <v>1731.82</v>
      </c>
    </row>
    <row r="64" spans="8:16" x14ac:dyDescent="0.25">
      <c r="H64" s="366" t="s">
        <v>338</v>
      </c>
      <c r="I64" s="366" t="s">
        <v>45</v>
      </c>
      <c r="J64" s="366" t="s">
        <v>21</v>
      </c>
      <c r="K64" s="366" t="s">
        <v>21</v>
      </c>
      <c r="L64" s="367">
        <v>15881.1</v>
      </c>
      <c r="M64" s="367">
        <v>27355.8</v>
      </c>
      <c r="N64" s="367">
        <v>139818.53</v>
      </c>
    </row>
    <row r="65" spans="8:16" x14ac:dyDescent="0.25">
      <c r="H65" s="366" t="s">
        <v>338</v>
      </c>
      <c r="I65" s="366" t="s">
        <v>45</v>
      </c>
      <c r="J65" s="366" t="s">
        <v>55</v>
      </c>
      <c r="K65" s="366" t="s">
        <v>183</v>
      </c>
      <c r="L65" s="367">
        <v>42</v>
      </c>
      <c r="M65" s="367">
        <v>2366.2399999999998</v>
      </c>
      <c r="N65" s="367">
        <v>3419</v>
      </c>
    </row>
    <row r="66" spans="8:16" x14ac:dyDescent="0.25">
      <c r="H66" s="366" t="s">
        <v>338</v>
      </c>
      <c r="I66" s="366" t="s">
        <v>45</v>
      </c>
      <c r="J66" s="366" t="s">
        <v>55</v>
      </c>
      <c r="K66" s="366" t="s">
        <v>337</v>
      </c>
      <c r="L66" s="367">
        <v>0</v>
      </c>
      <c r="M66" s="367">
        <v>132.72</v>
      </c>
      <c r="N66" s="367">
        <v>1125.3699999999999</v>
      </c>
    </row>
    <row r="67" spans="8:16" x14ac:dyDescent="0.25">
      <c r="H67" s="366" t="s">
        <v>338</v>
      </c>
      <c r="I67" s="366" t="s">
        <v>46</v>
      </c>
      <c r="J67" s="366" t="s">
        <v>21</v>
      </c>
      <c r="K67" s="366" t="s">
        <v>21</v>
      </c>
      <c r="L67" s="367">
        <v>4005.31</v>
      </c>
      <c r="M67" s="367">
        <v>10295.379999999999</v>
      </c>
      <c r="N67" s="367">
        <v>42850.61</v>
      </c>
    </row>
    <row r="68" spans="8:16" x14ac:dyDescent="0.25">
      <c r="H68" s="366" t="s">
        <v>338</v>
      </c>
      <c r="I68" s="366" t="s">
        <v>46</v>
      </c>
      <c r="J68" s="366" t="s">
        <v>52</v>
      </c>
      <c r="K68" s="366" t="s">
        <v>178</v>
      </c>
      <c r="L68" s="367">
        <v>257.86</v>
      </c>
      <c r="M68" s="367">
        <v>0</v>
      </c>
      <c r="N68" s="367">
        <v>257.14999999999998</v>
      </c>
    </row>
    <row r="69" spans="8:16" x14ac:dyDescent="0.25">
      <c r="H69" s="366" t="s">
        <v>338</v>
      </c>
      <c r="I69" s="366" t="s">
        <v>46</v>
      </c>
      <c r="J69" s="366" t="s">
        <v>55</v>
      </c>
      <c r="K69" s="366" t="s">
        <v>54</v>
      </c>
      <c r="L69" s="367">
        <v>0</v>
      </c>
      <c r="M69" s="367">
        <v>0</v>
      </c>
      <c r="N69" s="367">
        <v>461.06</v>
      </c>
    </row>
    <row r="70" spans="8:16" x14ac:dyDescent="0.25">
      <c r="H70" s="366" t="s">
        <v>338</v>
      </c>
      <c r="I70" s="366" t="s">
        <v>46</v>
      </c>
      <c r="J70" s="366" t="s">
        <v>55</v>
      </c>
      <c r="K70" s="366" t="s">
        <v>183</v>
      </c>
      <c r="L70" s="367">
        <v>0</v>
      </c>
      <c r="M70" s="367">
        <v>18.45</v>
      </c>
      <c r="N70" s="367">
        <v>457.37</v>
      </c>
    </row>
    <row r="71" spans="8:16" x14ac:dyDescent="0.25">
      <c r="H71" s="366" t="s">
        <v>338</v>
      </c>
      <c r="I71" s="366" t="s">
        <v>50</v>
      </c>
      <c r="J71" s="366" t="s">
        <v>21</v>
      </c>
      <c r="K71" s="366" t="s">
        <v>21</v>
      </c>
      <c r="L71" s="367">
        <v>3971.29</v>
      </c>
      <c r="M71" s="367">
        <v>4971.3599999999997</v>
      </c>
      <c r="N71" s="367">
        <v>6305.75</v>
      </c>
    </row>
    <row r="72" spans="8:16" x14ac:dyDescent="0.25">
      <c r="H72" s="366" t="s">
        <v>338</v>
      </c>
      <c r="I72" s="366" t="s">
        <v>50</v>
      </c>
      <c r="J72" s="366" t="s">
        <v>52</v>
      </c>
      <c r="K72" s="366" t="s">
        <v>178</v>
      </c>
      <c r="L72" s="367">
        <v>1915.75</v>
      </c>
      <c r="M72" s="367">
        <v>0</v>
      </c>
      <c r="N72" s="367">
        <v>569.05999999999995</v>
      </c>
    </row>
    <row r="73" spans="8:16" x14ac:dyDescent="0.25">
      <c r="H73" s="366" t="s">
        <v>338</v>
      </c>
      <c r="I73" s="366" t="s">
        <v>50</v>
      </c>
      <c r="J73" s="366" t="s">
        <v>52</v>
      </c>
      <c r="K73" s="366" t="s">
        <v>332</v>
      </c>
      <c r="L73" s="367">
        <v>0</v>
      </c>
      <c r="M73" s="367">
        <v>418.09</v>
      </c>
      <c r="N73" s="367">
        <v>831.52</v>
      </c>
    </row>
    <row r="74" spans="8:16" x14ac:dyDescent="0.25">
      <c r="H74" s="366" t="s">
        <v>338</v>
      </c>
      <c r="I74" s="366" t="s">
        <v>50</v>
      </c>
      <c r="J74" s="366" t="s">
        <v>52</v>
      </c>
      <c r="K74" s="366" t="s">
        <v>72</v>
      </c>
      <c r="L74" s="367">
        <v>0</v>
      </c>
      <c r="M74" s="367">
        <v>0</v>
      </c>
      <c r="N74" s="367">
        <v>0</v>
      </c>
    </row>
    <row r="75" spans="8:16" x14ac:dyDescent="0.25">
      <c r="H75" s="366" t="s">
        <v>338</v>
      </c>
      <c r="I75" s="366" t="s">
        <v>50</v>
      </c>
      <c r="J75" s="366" t="s">
        <v>55</v>
      </c>
      <c r="K75" s="366" t="s">
        <v>54</v>
      </c>
      <c r="L75" s="367">
        <v>0</v>
      </c>
      <c r="M75" s="367">
        <v>0</v>
      </c>
      <c r="N75" s="367">
        <v>1.0900000000000001</v>
      </c>
    </row>
    <row r="76" spans="8:16" x14ac:dyDescent="0.25">
      <c r="H76" s="366" t="s">
        <v>338</v>
      </c>
      <c r="I76" s="366" t="s">
        <v>50</v>
      </c>
      <c r="J76" s="366" t="s">
        <v>55</v>
      </c>
      <c r="K76" s="366" t="s">
        <v>72</v>
      </c>
      <c r="L76" s="367">
        <v>0</v>
      </c>
      <c r="M76" s="367">
        <v>0</v>
      </c>
      <c r="N76" s="367">
        <v>46.11</v>
      </c>
      <c r="O76" s="368">
        <f>SUM(L61:N76)</f>
        <v>403268.54</v>
      </c>
      <c r="P76" s="369" t="s">
        <v>84</v>
      </c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P37"/>
  <sheetViews>
    <sheetView workbookViewId="0">
      <selection sqref="A1:F1"/>
    </sheetView>
  </sheetViews>
  <sheetFormatPr defaultColWidth="9.140625" defaultRowHeight="15" x14ac:dyDescent="0.25"/>
  <cols>
    <col min="1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5703125" style="336" bestFit="1" customWidth="1"/>
    <col min="16" max="16" width="21.7109375" style="336" bestFit="1" customWidth="1"/>
    <col min="17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39" t="s">
        <v>32</v>
      </c>
      <c r="B8" s="339" t="s">
        <v>33</v>
      </c>
      <c r="C8" s="339" t="s">
        <v>40</v>
      </c>
      <c r="D8" s="339" t="s">
        <v>34</v>
      </c>
      <c r="E8" s="339" t="s">
        <v>35</v>
      </c>
      <c r="F8" s="339" t="s">
        <v>103</v>
      </c>
      <c r="H8" s="340" t="s">
        <v>338</v>
      </c>
      <c r="I8" s="340" t="s">
        <v>21</v>
      </c>
      <c r="J8" s="340" t="s">
        <v>21</v>
      </c>
      <c r="K8" s="340" t="s">
        <v>21</v>
      </c>
      <c r="L8" s="341">
        <v>15410.74</v>
      </c>
      <c r="M8" s="341">
        <v>20878.400000000001</v>
      </c>
      <c r="N8" s="341">
        <v>40228.9</v>
      </c>
    </row>
    <row r="9" spans="1:16" x14ac:dyDescent="0.25">
      <c r="A9" s="340" t="s">
        <v>338</v>
      </c>
      <c r="B9" s="340" t="s">
        <v>38</v>
      </c>
      <c r="C9" s="340" t="s">
        <v>3</v>
      </c>
      <c r="D9" s="342">
        <v>0</v>
      </c>
      <c r="E9" s="342">
        <v>0</v>
      </c>
      <c r="F9" s="342">
        <v>6723.53</v>
      </c>
      <c r="H9" s="343" t="s">
        <v>338</v>
      </c>
      <c r="I9" s="343" t="s">
        <v>21</v>
      </c>
      <c r="J9" s="343" t="s">
        <v>52</v>
      </c>
      <c r="K9" s="343" t="s">
        <v>209</v>
      </c>
      <c r="L9" s="344">
        <v>277.31</v>
      </c>
      <c r="M9" s="344">
        <v>2473.02</v>
      </c>
      <c r="N9" s="344">
        <v>8288.39</v>
      </c>
    </row>
    <row r="10" spans="1:16" x14ac:dyDescent="0.25">
      <c r="A10" s="340" t="s">
        <v>338</v>
      </c>
      <c r="B10" s="340" t="s">
        <v>38</v>
      </c>
      <c r="C10" s="340" t="s">
        <v>323</v>
      </c>
      <c r="D10" s="342">
        <v>14661.17</v>
      </c>
      <c r="E10" s="342">
        <v>0</v>
      </c>
      <c r="F10" s="342">
        <v>8002.91</v>
      </c>
      <c r="G10" s="345"/>
      <c r="H10" s="343" t="s">
        <v>338</v>
      </c>
      <c r="I10" s="343" t="s">
        <v>21</v>
      </c>
      <c r="J10" s="343" t="s">
        <v>52</v>
      </c>
      <c r="K10" s="343" t="s">
        <v>178</v>
      </c>
      <c r="L10" s="344">
        <v>12117.57</v>
      </c>
      <c r="M10" s="344">
        <v>22318.67</v>
      </c>
      <c r="N10" s="344">
        <v>91979.69</v>
      </c>
    </row>
    <row r="11" spans="1:16" x14ac:dyDescent="0.25">
      <c r="A11" s="340" t="s">
        <v>338</v>
      </c>
      <c r="B11" s="340" t="s">
        <v>38</v>
      </c>
      <c r="C11" s="340" t="s">
        <v>41</v>
      </c>
      <c r="D11" s="342">
        <v>72392.740000000005</v>
      </c>
      <c r="E11" s="342">
        <v>114744.76</v>
      </c>
      <c r="F11" s="342">
        <v>540481.80000000005</v>
      </c>
      <c r="G11" s="345"/>
      <c r="H11" s="343" t="s">
        <v>338</v>
      </c>
      <c r="I11" s="343" t="s">
        <v>21</v>
      </c>
      <c r="J11" s="343" t="s">
        <v>52</v>
      </c>
      <c r="K11" s="343" t="s">
        <v>332</v>
      </c>
      <c r="L11" s="344">
        <v>819.7</v>
      </c>
      <c r="M11" s="344">
        <v>207.45</v>
      </c>
      <c r="N11" s="344">
        <v>3877.28</v>
      </c>
    </row>
    <row r="12" spans="1:16" x14ac:dyDescent="0.25">
      <c r="A12" s="340" t="s">
        <v>338</v>
      </c>
      <c r="B12" s="340" t="s">
        <v>39</v>
      </c>
      <c r="C12" s="340" t="s">
        <v>41</v>
      </c>
      <c r="D12" s="342">
        <v>8600.36</v>
      </c>
      <c r="E12" s="342">
        <v>36085.379999999997</v>
      </c>
      <c r="F12" s="342">
        <v>141778.63</v>
      </c>
      <c r="H12" s="343" t="s">
        <v>338</v>
      </c>
      <c r="I12" s="343" t="s">
        <v>21</v>
      </c>
      <c r="J12" s="343" t="s">
        <v>52</v>
      </c>
      <c r="K12" s="343" t="s">
        <v>210</v>
      </c>
      <c r="L12" s="344">
        <v>3071.99</v>
      </c>
      <c r="M12" s="344">
        <v>7889.93</v>
      </c>
      <c r="N12" s="344">
        <v>139702.5</v>
      </c>
      <c r="O12" s="346">
        <f>SUM(L9:N12)</f>
        <v>293023.5</v>
      </c>
      <c r="P12" s="347" t="s">
        <v>52</v>
      </c>
    </row>
    <row r="13" spans="1:16" x14ac:dyDescent="0.25">
      <c r="H13" s="348" t="s">
        <v>338</v>
      </c>
      <c r="I13" s="348" t="s">
        <v>21</v>
      </c>
      <c r="J13" s="348" t="s">
        <v>52</v>
      </c>
      <c r="K13" s="348" t="s">
        <v>240</v>
      </c>
      <c r="L13" s="349">
        <v>3972.58</v>
      </c>
      <c r="M13" s="349">
        <v>1854.35</v>
      </c>
      <c r="N13" s="349">
        <v>86460.59</v>
      </c>
    </row>
    <row r="14" spans="1:16" x14ac:dyDescent="0.25">
      <c r="H14" s="348" t="s">
        <v>338</v>
      </c>
      <c r="I14" s="348" t="s">
        <v>21</v>
      </c>
      <c r="J14" s="348" t="s">
        <v>52</v>
      </c>
      <c r="K14" s="348" t="s">
        <v>72</v>
      </c>
      <c r="L14" s="349">
        <v>4118.1000000000004</v>
      </c>
      <c r="M14" s="349">
        <v>4108.99</v>
      </c>
      <c r="N14" s="349">
        <v>7290.33</v>
      </c>
      <c r="O14" s="392">
        <f>SUM(L13:N14)</f>
        <v>107804.94</v>
      </c>
      <c r="P14" s="351" t="s">
        <v>254</v>
      </c>
    </row>
    <row r="15" spans="1:16" x14ac:dyDescent="0.25">
      <c r="H15" s="352" t="s">
        <v>338</v>
      </c>
      <c r="I15" s="352" t="s">
        <v>21</v>
      </c>
      <c r="J15" s="352" t="s">
        <v>55</v>
      </c>
      <c r="K15" s="352" t="s">
        <v>182</v>
      </c>
      <c r="L15" s="353">
        <v>0</v>
      </c>
      <c r="M15" s="353">
        <v>1274.52</v>
      </c>
      <c r="N15" s="353">
        <v>907.6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338</v>
      </c>
      <c r="I16" s="352" t="s">
        <v>21</v>
      </c>
      <c r="J16" s="352" t="s">
        <v>55</v>
      </c>
      <c r="K16" s="352" t="s">
        <v>54</v>
      </c>
      <c r="L16" s="353">
        <v>501.23</v>
      </c>
      <c r="M16" s="353">
        <v>971.2</v>
      </c>
      <c r="N16" s="353">
        <v>8544.2900000000009</v>
      </c>
    </row>
    <row r="17" spans="1:16" x14ac:dyDescent="0.25">
      <c r="A17" s="336" t="s">
        <v>38</v>
      </c>
      <c r="B17" s="359">
        <f>SUM(D11:F11)</f>
        <v>727619.3</v>
      </c>
      <c r="D17" s="502" t="s">
        <v>81</v>
      </c>
      <c r="E17" s="502"/>
      <c r="F17" s="360">
        <f>O12/B21</f>
        <v>0.31058020123304653</v>
      </c>
      <c r="H17" s="352" t="s">
        <v>338</v>
      </c>
      <c r="I17" s="352" t="s">
        <v>21</v>
      </c>
      <c r="J17" s="352" t="s">
        <v>55</v>
      </c>
      <c r="K17" s="352" t="s">
        <v>66</v>
      </c>
      <c r="L17" s="353">
        <v>260.64</v>
      </c>
      <c r="M17" s="353">
        <v>0</v>
      </c>
      <c r="N17" s="353">
        <v>0</v>
      </c>
    </row>
    <row r="18" spans="1:16" x14ac:dyDescent="0.25">
      <c r="A18" s="336" t="s">
        <v>39</v>
      </c>
      <c r="B18" s="359">
        <f>SUM(D12:F12)</f>
        <v>186464.37</v>
      </c>
      <c r="D18" s="481" t="s">
        <v>253</v>
      </c>
      <c r="E18" s="481"/>
      <c r="F18" s="360">
        <f>O14/B21</f>
        <v>0.11426414591019665</v>
      </c>
      <c r="H18" s="352" t="s">
        <v>338</v>
      </c>
      <c r="I18" s="352" t="s">
        <v>21</v>
      </c>
      <c r="J18" s="352" t="s">
        <v>55</v>
      </c>
      <c r="K18" s="352" t="s">
        <v>67</v>
      </c>
      <c r="L18" s="353">
        <v>0</v>
      </c>
      <c r="M18" s="353">
        <v>1639.17</v>
      </c>
      <c r="N18" s="353">
        <v>1160.6300000000001</v>
      </c>
    </row>
    <row r="19" spans="1:16" x14ac:dyDescent="0.25">
      <c r="A19" s="336" t="s">
        <v>2</v>
      </c>
      <c r="B19" s="359">
        <f>SUM(D10:F10)</f>
        <v>22664.080000000002</v>
      </c>
      <c r="D19" s="336" t="s">
        <v>78</v>
      </c>
      <c r="F19" s="360">
        <f>O21/B21</f>
        <v>6.6622335340191796E-2</v>
      </c>
      <c r="H19" s="352" t="s">
        <v>338</v>
      </c>
      <c r="I19" s="352" t="s">
        <v>21</v>
      </c>
      <c r="J19" s="352" t="s">
        <v>55</v>
      </c>
      <c r="K19" s="352" t="s">
        <v>183</v>
      </c>
      <c r="L19" s="353">
        <v>1073.31</v>
      </c>
      <c r="M19" s="353">
        <v>2124.75</v>
      </c>
      <c r="N19" s="353">
        <v>8458.5</v>
      </c>
    </row>
    <row r="20" spans="1:16" x14ac:dyDescent="0.25">
      <c r="A20" s="336" t="s">
        <v>3</v>
      </c>
      <c r="B20" s="359">
        <f>SUM(D9:F9)</f>
        <v>6723.53</v>
      </c>
      <c r="D20" s="481" t="s">
        <v>42</v>
      </c>
      <c r="E20" s="481"/>
      <c r="F20" s="360">
        <f>O37/B21</f>
        <v>0.42743064738547204</v>
      </c>
      <c r="H20" s="352" t="s">
        <v>338</v>
      </c>
      <c r="I20" s="352" t="s">
        <v>21</v>
      </c>
      <c r="J20" s="352" t="s">
        <v>55</v>
      </c>
      <c r="K20" s="352" t="s">
        <v>337</v>
      </c>
      <c r="L20" s="353">
        <v>514.92999999999995</v>
      </c>
      <c r="M20" s="353">
        <v>984.41</v>
      </c>
      <c r="N20" s="353">
        <v>8018.38</v>
      </c>
    </row>
    <row r="21" spans="1:16" ht="15.75" thickBot="1" x14ac:dyDescent="0.3">
      <c r="A21" s="361"/>
      <c r="B21" s="362">
        <f>SUM(B17:B20)</f>
        <v>943471.28</v>
      </c>
      <c r="F21" s="363">
        <f>SUM(F17:F20)</f>
        <v>0.91889732986890693</v>
      </c>
      <c r="H21" s="352" t="s">
        <v>338</v>
      </c>
      <c r="I21" s="352" t="s">
        <v>21</v>
      </c>
      <c r="J21" s="352" t="s">
        <v>55</v>
      </c>
      <c r="K21" s="352" t="s">
        <v>72</v>
      </c>
      <c r="L21" s="353">
        <v>1617.02</v>
      </c>
      <c r="M21" s="353">
        <v>4574.67</v>
      </c>
      <c r="N21" s="353">
        <v>20231.009999999998</v>
      </c>
      <c r="O21" s="364">
        <f>SUM(L15:N21)</f>
        <v>62856.259999999995</v>
      </c>
      <c r="P21" s="365" t="s">
        <v>85</v>
      </c>
    </row>
    <row r="22" spans="1:16" x14ac:dyDescent="0.25">
      <c r="H22" s="366" t="s">
        <v>338</v>
      </c>
      <c r="I22" s="366" t="s">
        <v>43</v>
      </c>
      <c r="J22" s="366" t="s">
        <v>21</v>
      </c>
      <c r="K22" s="366" t="s">
        <v>21</v>
      </c>
      <c r="L22" s="367">
        <v>25636.62</v>
      </c>
      <c r="M22" s="367">
        <v>33218.629999999997</v>
      </c>
      <c r="N22" s="367">
        <v>73033.919999999998</v>
      </c>
    </row>
    <row r="23" spans="1:16" x14ac:dyDescent="0.25">
      <c r="H23" s="366" t="s">
        <v>338</v>
      </c>
      <c r="I23" s="366" t="s">
        <v>43</v>
      </c>
      <c r="J23" s="366" t="s">
        <v>55</v>
      </c>
      <c r="K23" s="366" t="s">
        <v>54</v>
      </c>
      <c r="L23" s="367">
        <v>0</v>
      </c>
      <c r="M23" s="367">
        <v>480.33</v>
      </c>
      <c r="N23" s="367">
        <v>930.42</v>
      </c>
    </row>
    <row r="24" spans="1:16" x14ac:dyDescent="0.25">
      <c r="H24" s="366" t="s">
        <v>338</v>
      </c>
      <c r="I24" s="366" t="s">
        <v>43</v>
      </c>
      <c r="J24" s="366" t="s">
        <v>55</v>
      </c>
      <c r="K24" s="366" t="s">
        <v>183</v>
      </c>
      <c r="L24" s="367">
        <v>189.22</v>
      </c>
      <c r="M24" s="367">
        <v>273.61</v>
      </c>
      <c r="N24" s="367">
        <v>1731.82</v>
      </c>
    </row>
    <row r="25" spans="1:16" x14ac:dyDescent="0.25">
      <c r="H25" s="366" t="s">
        <v>338</v>
      </c>
      <c r="I25" s="366" t="s">
        <v>45</v>
      </c>
      <c r="J25" s="366" t="s">
        <v>21</v>
      </c>
      <c r="K25" s="366" t="s">
        <v>21</v>
      </c>
      <c r="L25" s="367">
        <v>15881.1</v>
      </c>
      <c r="M25" s="367">
        <v>27355.8</v>
      </c>
      <c r="N25" s="367">
        <v>139818.53</v>
      </c>
    </row>
    <row r="26" spans="1:16" x14ac:dyDescent="0.25">
      <c r="H26" s="366" t="s">
        <v>338</v>
      </c>
      <c r="I26" s="366" t="s">
        <v>45</v>
      </c>
      <c r="J26" s="366" t="s">
        <v>55</v>
      </c>
      <c r="K26" s="366" t="s">
        <v>183</v>
      </c>
      <c r="L26" s="367">
        <v>42</v>
      </c>
      <c r="M26" s="367">
        <v>2366.2399999999998</v>
      </c>
      <c r="N26" s="367">
        <v>3419</v>
      </c>
    </row>
    <row r="27" spans="1:16" x14ac:dyDescent="0.25">
      <c r="H27" s="366" t="s">
        <v>338</v>
      </c>
      <c r="I27" s="366" t="s">
        <v>45</v>
      </c>
      <c r="J27" s="366" t="s">
        <v>55</v>
      </c>
      <c r="K27" s="366" t="s">
        <v>337</v>
      </c>
      <c r="L27" s="367">
        <v>0</v>
      </c>
      <c r="M27" s="367">
        <v>132.72</v>
      </c>
      <c r="N27" s="367">
        <v>1125.3699999999999</v>
      </c>
    </row>
    <row r="28" spans="1:16" x14ac:dyDescent="0.25">
      <c r="H28" s="366" t="s">
        <v>338</v>
      </c>
      <c r="I28" s="366" t="s">
        <v>46</v>
      </c>
      <c r="J28" s="366" t="s">
        <v>21</v>
      </c>
      <c r="K28" s="366" t="s">
        <v>21</v>
      </c>
      <c r="L28" s="367">
        <v>4005.31</v>
      </c>
      <c r="M28" s="367">
        <v>10295.379999999999</v>
      </c>
      <c r="N28" s="367">
        <v>42850.61</v>
      </c>
    </row>
    <row r="29" spans="1:16" x14ac:dyDescent="0.25">
      <c r="H29" s="366" t="s">
        <v>338</v>
      </c>
      <c r="I29" s="366" t="s">
        <v>46</v>
      </c>
      <c r="J29" s="366" t="s">
        <v>52</v>
      </c>
      <c r="K29" s="366" t="s">
        <v>178</v>
      </c>
      <c r="L29" s="367">
        <v>257.86</v>
      </c>
      <c r="M29" s="367">
        <v>0</v>
      </c>
      <c r="N29" s="367">
        <v>257.14999999999998</v>
      </c>
    </row>
    <row r="30" spans="1:16" x14ac:dyDescent="0.25">
      <c r="D30" s="345"/>
      <c r="E30" s="345"/>
      <c r="F30" s="345"/>
      <c r="H30" s="366" t="s">
        <v>338</v>
      </c>
      <c r="I30" s="366" t="s">
        <v>46</v>
      </c>
      <c r="J30" s="366" t="s">
        <v>55</v>
      </c>
      <c r="K30" s="366" t="s">
        <v>54</v>
      </c>
      <c r="L30" s="367">
        <v>0</v>
      </c>
      <c r="M30" s="367">
        <v>0</v>
      </c>
      <c r="N30" s="367">
        <v>461.06</v>
      </c>
    </row>
    <row r="31" spans="1:16" x14ac:dyDescent="0.25">
      <c r="D31" s="345"/>
      <c r="E31" s="345"/>
      <c r="F31" s="345"/>
      <c r="H31" s="366" t="s">
        <v>338</v>
      </c>
      <c r="I31" s="366" t="s">
        <v>46</v>
      </c>
      <c r="J31" s="366" t="s">
        <v>55</v>
      </c>
      <c r="K31" s="366" t="s">
        <v>183</v>
      </c>
      <c r="L31" s="367">
        <v>0</v>
      </c>
      <c r="M31" s="367">
        <v>18.45</v>
      </c>
      <c r="N31" s="367">
        <v>457.37</v>
      </c>
    </row>
    <row r="32" spans="1:16" x14ac:dyDescent="0.25">
      <c r="H32" s="366" t="s">
        <v>338</v>
      </c>
      <c r="I32" s="366" t="s">
        <v>50</v>
      </c>
      <c r="J32" s="366" t="s">
        <v>21</v>
      </c>
      <c r="K32" s="366" t="s">
        <v>21</v>
      </c>
      <c r="L32" s="367">
        <v>3971.29</v>
      </c>
      <c r="M32" s="367">
        <v>4971.3599999999997</v>
      </c>
      <c r="N32" s="367">
        <v>6305.75</v>
      </c>
    </row>
    <row r="33" spans="8:16" x14ac:dyDescent="0.25">
      <c r="H33" s="366" t="s">
        <v>338</v>
      </c>
      <c r="I33" s="366" t="s">
        <v>50</v>
      </c>
      <c r="J33" s="366" t="s">
        <v>52</v>
      </c>
      <c r="K33" s="366" t="s">
        <v>178</v>
      </c>
      <c r="L33" s="367">
        <v>1915.75</v>
      </c>
      <c r="M33" s="367">
        <v>0</v>
      </c>
      <c r="N33" s="367">
        <v>569.05999999999995</v>
      </c>
    </row>
    <row r="34" spans="8:16" x14ac:dyDescent="0.25">
      <c r="H34" s="366" t="s">
        <v>338</v>
      </c>
      <c r="I34" s="366" t="s">
        <v>50</v>
      </c>
      <c r="J34" s="366" t="s">
        <v>52</v>
      </c>
      <c r="K34" s="366" t="s">
        <v>332</v>
      </c>
      <c r="L34" s="367">
        <v>0</v>
      </c>
      <c r="M34" s="367">
        <v>418.09</v>
      </c>
      <c r="N34" s="367">
        <v>831.52</v>
      </c>
    </row>
    <row r="35" spans="8:16" x14ac:dyDescent="0.25">
      <c r="H35" s="366" t="s">
        <v>338</v>
      </c>
      <c r="I35" s="366" t="s">
        <v>50</v>
      </c>
      <c r="J35" s="366" t="s">
        <v>52</v>
      </c>
      <c r="K35" s="366" t="s">
        <v>72</v>
      </c>
      <c r="L35" s="367">
        <v>0</v>
      </c>
      <c r="M35" s="367">
        <v>0</v>
      </c>
      <c r="N35" s="367">
        <v>0</v>
      </c>
    </row>
    <row r="36" spans="8:16" x14ac:dyDescent="0.25">
      <c r="H36" s="366" t="s">
        <v>338</v>
      </c>
      <c r="I36" s="366" t="s">
        <v>50</v>
      </c>
      <c r="J36" s="366" t="s">
        <v>55</v>
      </c>
      <c r="K36" s="366" t="s">
        <v>54</v>
      </c>
      <c r="L36" s="367">
        <v>0</v>
      </c>
      <c r="M36" s="367">
        <v>0</v>
      </c>
      <c r="N36" s="367">
        <v>1.0900000000000001</v>
      </c>
    </row>
    <row r="37" spans="8:16" x14ac:dyDescent="0.25">
      <c r="H37" s="366" t="s">
        <v>338</v>
      </c>
      <c r="I37" s="366" t="s">
        <v>50</v>
      </c>
      <c r="J37" s="366" t="s">
        <v>55</v>
      </c>
      <c r="K37" s="366" t="s">
        <v>72</v>
      </c>
      <c r="L37" s="367">
        <v>0</v>
      </c>
      <c r="M37" s="367">
        <v>0</v>
      </c>
      <c r="N37" s="367">
        <v>46.11</v>
      </c>
      <c r="O37" s="368">
        <f>SUM(L22:N37)</f>
        <v>403268.54</v>
      </c>
      <c r="P37" s="369" t="s">
        <v>84</v>
      </c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P36"/>
  <sheetViews>
    <sheetView workbookViewId="0">
      <selection sqref="A1:F1"/>
    </sheetView>
  </sheetViews>
  <sheetFormatPr defaultColWidth="9.140625" defaultRowHeight="15" x14ac:dyDescent="0.25"/>
  <cols>
    <col min="1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28515625" style="336" bestFit="1" customWidth="1"/>
    <col min="16" max="16" width="21.7109375" style="336" bestFit="1" customWidth="1"/>
    <col min="17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39" t="s">
        <v>32</v>
      </c>
      <c r="B8" s="339" t="s">
        <v>33</v>
      </c>
      <c r="C8" s="339" t="s">
        <v>40</v>
      </c>
      <c r="D8" s="339" t="s">
        <v>34</v>
      </c>
      <c r="E8" s="339" t="s">
        <v>35</v>
      </c>
      <c r="F8" s="339" t="s">
        <v>103</v>
      </c>
      <c r="H8" s="340" t="s">
        <v>338</v>
      </c>
      <c r="I8" s="340" t="s">
        <v>21</v>
      </c>
      <c r="J8" s="340" t="s">
        <v>21</v>
      </c>
      <c r="K8" s="340" t="s">
        <v>21</v>
      </c>
      <c r="L8" s="341">
        <v>24461.45</v>
      </c>
      <c r="M8" s="341">
        <v>10343.59</v>
      </c>
      <c r="N8" s="341">
        <v>40689.11</v>
      </c>
    </row>
    <row r="9" spans="1:16" x14ac:dyDescent="0.25">
      <c r="A9" s="340" t="s">
        <v>338</v>
      </c>
      <c r="B9" s="340" t="s">
        <v>38</v>
      </c>
      <c r="C9" s="340" t="s">
        <v>3</v>
      </c>
      <c r="D9" s="342">
        <v>0</v>
      </c>
      <c r="E9" s="342">
        <v>269.54000000000002</v>
      </c>
      <c r="F9" s="342">
        <v>6453.99</v>
      </c>
      <c r="H9" s="343" t="s">
        <v>338</v>
      </c>
      <c r="I9" s="343" t="s">
        <v>21</v>
      </c>
      <c r="J9" s="343" t="s">
        <v>52</v>
      </c>
      <c r="K9" s="343" t="s">
        <v>209</v>
      </c>
      <c r="L9" s="344">
        <v>1034.7</v>
      </c>
      <c r="M9" s="344">
        <v>200.92</v>
      </c>
      <c r="N9" s="344">
        <v>7723.71</v>
      </c>
    </row>
    <row r="10" spans="1:16" x14ac:dyDescent="0.25">
      <c r="A10" s="340" t="s">
        <v>338</v>
      </c>
      <c r="B10" s="340" t="s">
        <v>38</v>
      </c>
      <c r="C10" s="340" t="s">
        <v>323</v>
      </c>
      <c r="D10" s="342">
        <v>0</v>
      </c>
      <c r="E10" s="342">
        <v>912.7</v>
      </c>
      <c r="F10" s="342">
        <v>7090.21</v>
      </c>
      <c r="G10" s="345"/>
      <c r="H10" s="343" t="s">
        <v>338</v>
      </c>
      <c r="I10" s="343" t="s">
        <v>21</v>
      </c>
      <c r="J10" s="343" t="s">
        <v>52</v>
      </c>
      <c r="K10" s="343" t="s">
        <v>178</v>
      </c>
      <c r="L10" s="344">
        <v>29020.240000000002</v>
      </c>
      <c r="M10" s="344">
        <v>21678.79</v>
      </c>
      <c r="N10" s="344">
        <v>85419.05</v>
      </c>
    </row>
    <row r="11" spans="1:16" x14ac:dyDescent="0.25">
      <c r="A11" s="340" t="s">
        <v>338</v>
      </c>
      <c r="B11" s="340" t="s">
        <v>38</v>
      </c>
      <c r="C11" s="340" t="s">
        <v>41</v>
      </c>
      <c r="D11" s="342">
        <v>139963.01999999999</v>
      </c>
      <c r="E11" s="342">
        <v>59802.79</v>
      </c>
      <c r="F11" s="342">
        <v>537908.6</v>
      </c>
      <c r="G11" s="345"/>
      <c r="H11" s="343" t="s">
        <v>338</v>
      </c>
      <c r="I11" s="343" t="s">
        <v>21</v>
      </c>
      <c r="J11" s="343" t="s">
        <v>52</v>
      </c>
      <c r="K11" s="343" t="s">
        <v>332</v>
      </c>
      <c r="L11" s="344">
        <v>207.45</v>
      </c>
      <c r="M11" s="344">
        <v>0</v>
      </c>
      <c r="N11" s="344">
        <v>2479.88</v>
      </c>
    </row>
    <row r="12" spans="1:16" x14ac:dyDescent="0.25">
      <c r="A12" s="340" t="s">
        <v>338</v>
      </c>
      <c r="B12" s="340" t="s">
        <v>39</v>
      </c>
      <c r="C12" s="340" t="s">
        <v>41</v>
      </c>
      <c r="D12" s="342">
        <v>38444.54</v>
      </c>
      <c r="E12" s="342">
        <v>12922.01</v>
      </c>
      <c r="F12" s="342">
        <v>150477.22</v>
      </c>
      <c r="H12" s="343" t="s">
        <v>338</v>
      </c>
      <c r="I12" s="343" t="s">
        <v>21</v>
      </c>
      <c r="J12" s="343" t="s">
        <v>52</v>
      </c>
      <c r="K12" s="343" t="s">
        <v>210</v>
      </c>
      <c r="L12" s="344">
        <v>8148.04</v>
      </c>
      <c r="M12" s="344">
        <v>2887.48</v>
      </c>
      <c r="N12" s="344">
        <v>146965.04</v>
      </c>
    </row>
    <row r="13" spans="1:16" x14ac:dyDescent="0.25">
      <c r="H13" s="343" t="s">
        <v>338</v>
      </c>
      <c r="I13" s="343" t="s">
        <v>21</v>
      </c>
      <c r="J13" s="343" t="s">
        <v>52</v>
      </c>
      <c r="K13" s="343" t="s">
        <v>72</v>
      </c>
      <c r="L13" s="344">
        <v>4333.8599999999997</v>
      </c>
      <c r="M13" s="344">
        <v>642.03</v>
      </c>
      <c r="N13" s="344">
        <v>7492.94</v>
      </c>
      <c r="O13" s="346">
        <f>SUM(L9:N13)</f>
        <v>318234.13000000006</v>
      </c>
      <c r="P13" s="347" t="s">
        <v>52</v>
      </c>
    </row>
    <row r="14" spans="1:16" x14ac:dyDescent="0.25">
      <c r="H14" s="348" t="s">
        <v>338</v>
      </c>
      <c r="I14" s="348" t="s">
        <v>21</v>
      </c>
      <c r="J14" s="348" t="s">
        <v>52</v>
      </c>
      <c r="K14" s="348" t="s">
        <v>240</v>
      </c>
      <c r="L14" s="349">
        <v>1838.19</v>
      </c>
      <c r="M14" s="349">
        <v>1430.46</v>
      </c>
      <c r="N14" s="349">
        <v>71539.289999999994</v>
      </c>
    </row>
    <row r="15" spans="1:16" x14ac:dyDescent="0.25">
      <c r="H15" s="348" t="s">
        <v>338</v>
      </c>
      <c r="I15" s="348" t="s">
        <v>21</v>
      </c>
      <c r="J15" s="348" t="s">
        <v>53</v>
      </c>
      <c r="K15" s="348" t="s">
        <v>64</v>
      </c>
      <c r="L15" s="349">
        <v>44.07</v>
      </c>
      <c r="M15" s="349">
        <v>0</v>
      </c>
      <c r="N15" s="349">
        <v>449.28</v>
      </c>
      <c r="O15" s="350">
        <f>SUM(L14:N15)</f>
        <v>75301.289999999994</v>
      </c>
      <c r="P15" s="351" t="s">
        <v>254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338</v>
      </c>
      <c r="I16" s="352" t="s">
        <v>21</v>
      </c>
      <c r="J16" s="352" t="s">
        <v>55</v>
      </c>
      <c r="K16" s="352" t="s">
        <v>54</v>
      </c>
      <c r="L16" s="353">
        <v>1656.54</v>
      </c>
      <c r="M16" s="353">
        <v>21.96</v>
      </c>
      <c r="N16" s="353">
        <v>1953.55</v>
      </c>
    </row>
    <row r="17" spans="1:16" x14ac:dyDescent="0.25">
      <c r="A17" s="336" t="s">
        <v>38</v>
      </c>
      <c r="B17" s="359">
        <f>SUM(D11:F11)</f>
        <v>737674.40999999992</v>
      </c>
      <c r="D17" s="502" t="s">
        <v>81</v>
      </c>
      <c r="E17" s="502"/>
      <c r="F17" s="360">
        <f>O13/B21</f>
        <v>0.33349323991996943</v>
      </c>
      <c r="H17" s="352" t="s">
        <v>338</v>
      </c>
      <c r="I17" s="352" t="s">
        <v>21</v>
      </c>
      <c r="J17" s="352" t="s">
        <v>55</v>
      </c>
      <c r="K17" s="352" t="s">
        <v>66</v>
      </c>
      <c r="L17" s="353">
        <v>216.12</v>
      </c>
      <c r="M17" s="353">
        <v>0</v>
      </c>
      <c r="N17" s="353">
        <v>386.54</v>
      </c>
    </row>
    <row r="18" spans="1:16" x14ac:dyDescent="0.25">
      <c r="A18" s="336" t="s">
        <v>39</v>
      </c>
      <c r="B18" s="359">
        <f>SUM(D12:F12)</f>
        <v>201843.77000000002</v>
      </c>
      <c r="D18" s="481" t="s">
        <v>253</v>
      </c>
      <c r="E18" s="481"/>
      <c r="F18" s="360">
        <f>O15/B21</f>
        <v>7.8911935599909375E-2</v>
      </c>
      <c r="H18" s="352" t="s">
        <v>338</v>
      </c>
      <c r="I18" s="352" t="s">
        <v>21</v>
      </c>
      <c r="J18" s="352" t="s">
        <v>55</v>
      </c>
      <c r="K18" s="352" t="s">
        <v>67</v>
      </c>
      <c r="L18" s="353">
        <v>1536.01</v>
      </c>
      <c r="M18" s="353">
        <v>566.13</v>
      </c>
      <c r="N18" s="353">
        <v>2743.85</v>
      </c>
    </row>
    <row r="19" spans="1:16" x14ac:dyDescent="0.25">
      <c r="A19" s="336" t="s">
        <v>2</v>
      </c>
      <c r="B19" s="359">
        <f>SUM(D10:F10)</f>
        <v>8002.91</v>
      </c>
      <c r="D19" s="336" t="s">
        <v>78</v>
      </c>
      <c r="F19" s="360">
        <f>O21/B21</f>
        <v>6.6871396141588949E-2</v>
      </c>
      <c r="H19" s="352" t="s">
        <v>338</v>
      </c>
      <c r="I19" s="352" t="s">
        <v>21</v>
      </c>
      <c r="J19" s="352" t="s">
        <v>55</v>
      </c>
      <c r="K19" s="352" t="s">
        <v>183</v>
      </c>
      <c r="L19" s="353">
        <v>1018.7</v>
      </c>
      <c r="M19" s="353">
        <v>1354.87</v>
      </c>
      <c r="N19" s="353">
        <v>10590.67</v>
      </c>
    </row>
    <row r="20" spans="1:16" x14ac:dyDescent="0.25">
      <c r="A20" s="336" t="s">
        <v>3</v>
      </c>
      <c r="B20" s="359">
        <f>SUM(D9:F9)</f>
        <v>6723.53</v>
      </c>
      <c r="D20" s="481" t="s">
        <v>42</v>
      </c>
      <c r="E20" s="481"/>
      <c r="F20" s="360">
        <f>O36/B21</f>
        <v>0.44160938523289756</v>
      </c>
      <c r="H20" s="352" t="s">
        <v>338</v>
      </c>
      <c r="I20" s="352" t="s">
        <v>21</v>
      </c>
      <c r="J20" s="352" t="s">
        <v>55</v>
      </c>
      <c r="K20" s="352" t="s">
        <v>337</v>
      </c>
      <c r="L20" s="353">
        <v>1998.76</v>
      </c>
      <c r="M20" s="353">
        <v>66.44</v>
      </c>
      <c r="N20" s="353">
        <v>11053.3</v>
      </c>
    </row>
    <row r="21" spans="1:16" ht="15.75" thickBot="1" x14ac:dyDescent="0.3">
      <c r="A21" s="361"/>
      <c r="B21" s="362">
        <f>SUM(B17:B20)</f>
        <v>954244.62</v>
      </c>
      <c r="F21" s="363">
        <f>SUM(F17:F20)</f>
        <v>0.92088595689436525</v>
      </c>
      <c r="H21" s="352" t="s">
        <v>338</v>
      </c>
      <c r="I21" s="352" t="s">
        <v>21</v>
      </c>
      <c r="J21" s="352" t="s">
        <v>55</v>
      </c>
      <c r="K21" s="352" t="s">
        <v>72</v>
      </c>
      <c r="L21" s="353">
        <v>5434.12</v>
      </c>
      <c r="M21" s="353">
        <v>1288.82</v>
      </c>
      <c r="N21" s="353">
        <v>21925.29</v>
      </c>
      <c r="O21" s="364">
        <f>SUM(L16:N21)</f>
        <v>63811.670000000006</v>
      </c>
      <c r="P21" s="365" t="s">
        <v>85</v>
      </c>
    </row>
    <row r="22" spans="1:16" x14ac:dyDescent="0.25">
      <c r="H22" s="366" t="s">
        <v>338</v>
      </c>
      <c r="I22" s="366" t="s">
        <v>43</v>
      </c>
      <c r="J22" s="366" t="s">
        <v>21</v>
      </c>
      <c r="K22" s="366" t="s">
        <v>21</v>
      </c>
      <c r="L22" s="367">
        <v>40442.26</v>
      </c>
      <c r="M22" s="367">
        <v>7362.54</v>
      </c>
      <c r="N22" s="367">
        <v>82542.25</v>
      </c>
    </row>
    <row r="23" spans="1:16" x14ac:dyDescent="0.25">
      <c r="H23" s="366" t="s">
        <v>338</v>
      </c>
      <c r="I23" s="366" t="s">
        <v>43</v>
      </c>
      <c r="J23" s="366" t="s">
        <v>52</v>
      </c>
      <c r="K23" s="366" t="s">
        <v>178</v>
      </c>
      <c r="L23" s="367">
        <v>3272.49</v>
      </c>
      <c r="M23" s="367">
        <v>202.38</v>
      </c>
      <c r="N23" s="367">
        <v>2145.9</v>
      </c>
    </row>
    <row r="24" spans="1:16" x14ac:dyDescent="0.25">
      <c r="H24" s="366" t="s">
        <v>338</v>
      </c>
      <c r="I24" s="366" t="s">
        <v>43</v>
      </c>
      <c r="J24" s="366" t="s">
        <v>55</v>
      </c>
      <c r="K24" s="366" t="s">
        <v>183</v>
      </c>
      <c r="L24" s="367">
        <v>0</v>
      </c>
      <c r="M24" s="367">
        <v>0</v>
      </c>
      <c r="N24" s="367">
        <v>339.69</v>
      </c>
    </row>
    <row r="25" spans="1:16" x14ac:dyDescent="0.25">
      <c r="H25" s="366" t="s">
        <v>338</v>
      </c>
      <c r="I25" s="366" t="s">
        <v>43</v>
      </c>
      <c r="J25" s="366" t="s">
        <v>55</v>
      </c>
      <c r="K25" s="366" t="s">
        <v>72</v>
      </c>
      <c r="L25" s="367">
        <v>0</v>
      </c>
      <c r="M25" s="367">
        <v>143.57</v>
      </c>
      <c r="N25" s="367">
        <v>104.52</v>
      </c>
    </row>
    <row r="26" spans="1:16" x14ac:dyDescent="0.25">
      <c r="H26" s="366" t="s">
        <v>338</v>
      </c>
      <c r="I26" s="366" t="s">
        <v>45</v>
      </c>
      <c r="J26" s="366" t="s">
        <v>21</v>
      </c>
      <c r="K26" s="366" t="s">
        <v>21</v>
      </c>
      <c r="L26" s="367">
        <v>29079.119999999999</v>
      </c>
      <c r="M26" s="367">
        <v>12358.64</v>
      </c>
      <c r="N26" s="367">
        <v>148233.91</v>
      </c>
    </row>
    <row r="27" spans="1:16" x14ac:dyDescent="0.25">
      <c r="H27" s="366" t="s">
        <v>338</v>
      </c>
      <c r="I27" s="366" t="s">
        <v>45</v>
      </c>
      <c r="J27" s="366" t="s">
        <v>55</v>
      </c>
      <c r="K27" s="366" t="s">
        <v>183</v>
      </c>
      <c r="L27" s="367">
        <v>2729.53</v>
      </c>
      <c r="M27" s="367">
        <v>136.25</v>
      </c>
      <c r="N27" s="367">
        <v>4164.63</v>
      </c>
    </row>
    <row r="28" spans="1:16" x14ac:dyDescent="0.25">
      <c r="H28" s="366" t="s">
        <v>338</v>
      </c>
      <c r="I28" s="366" t="s">
        <v>45</v>
      </c>
      <c r="J28" s="366" t="s">
        <v>55</v>
      </c>
      <c r="K28" s="366" t="s">
        <v>337</v>
      </c>
      <c r="L28" s="367">
        <v>86.05</v>
      </c>
      <c r="M28" s="367">
        <v>0</v>
      </c>
      <c r="N28" s="367">
        <v>938.59</v>
      </c>
    </row>
    <row r="29" spans="1:16" x14ac:dyDescent="0.25">
      <c r="H29" s="366" t="s">
        <v>338</v>
      </c>
      <c r="I29" s="366" t="s">
        <v>45</v>
      </c>
      <c r="J29" s="366" t="s">
        <v>55</v>
      </c>
      <c r="K29" s="366" t="s">
        <v>72</v>
      </c>
      <c r="L29" s="367">
        <v>0</v>
      </c>
      <c r="M29" s="367">
        <v>0</v>
      </c>
      <c r="N29" s="367">
        <v>0</v>
      </c>
    </row>
    <row r="30" spans="1:16" x14ac:dyDescent="0.25">
      <c r="D30" s="345"/>
      <c r="E30" s="345"/>
      <c r="F30" s="345"/>
      <c r="H30" s="366" t="s">
        <v>338</v>
      </c>
      <c r="I30" s="366" t="s">
        <v>46</v>
      </c>
      <c r="J30" s="366" t="s">
        <v>21</v>
      </c>
      <c r="K30" s="366" t="s">
        <v>21</v>
      </c>
      <c r="L30" s="367">
        <v>12694.29</v>
      </c>
      <c r="M30" s="367">
        <v>10671.89</v>
      </c>
      <c r="N30" s="367">
        <v>39881.53</v>
      </c>
    </row>
    <row r="31" spans="1:16" x14ac:dyDescent="0.25">
      <c r="D31" s="345"/>
      <c r="E31" s="345"/>
      <c r="F31" s="345"/>
      <c r="H31" s="366" t="s">
        <v>338</v>
      </c>
      <c r="I31" s="366" t="s">
        <v>46</v>
      </c>
      <c r="J31" s="366" t="s">
        <v>52</v>
      </c>
      <c r="K31" s="366" t="s">
        <v>178</v>
      </c>
      <c r="L31" s="367">
        <v>0</v>
      </c>
      <c r="M31" s="367">
        <v>255.04</v>
      </c>
      <c r="N31" s="367">
        <v>1960.41</v>
      </c>
    </row>
    <row r="32" spans="1:16" x14ac:dyDescent="0.25">
      <c r="H32" s="366" t="s">
        <v>338</v>
      </c>
      <c r="I32" s="366" t="s">
        <v>50</v>
      </c>
      <c r="J32" s="366" t="s">
        <v>21</v>
      </c>
      <c r="K32" s="366" t="s">
        <v>21</v>
      </c>
      <c r="L32" s="367">
        <v>8737.48</v>
      </c>
      <c r="M32" s="367">
        <v>2295.2399999999998</v>
      </c>
      <c r="N32" s="367">
        <v>7679.47</v>
      </c>
    </row>
    <row r="33" spans="8:16" x14ac:dyDescent="0.25">
      <c r="H33" s="366" t="s">
        <v>338</v>
      </c>
      <c r="I33" s="366" t="s">
        <v>50</v>
      </c>
      <c r="J33" s="366" t="s">
        <v>52</v>
      </c>
      <c r="K33" s="366" t="s">
        <v>178</v>
      </c>
      <c r="L33" s="367">
        <v>0</v>
      </c>
      <c r="M33" s="367">
        <v>0</v>
      </c>
      <c r="N33" s="367">
        <v>569.05999999999995</v>
      </c>
    </row>
    <row r="34" spans="8:16" x14ac:dyDescent="0.25">
      <c r="H34" s="366" t="s">
        <v>338</v>
      </c>
      <c r="I34" s="366" t="s">
        <v>50</v>
      </c>
      <c r="J34" s="366" t="s">
        <v>52</v>
      </c>
      <c r="K34" s="366" t="s">
        <v>332</v>
      </c>
      <c r="L34" s="367">
        <v>418.09</v>
      </c>
      <c r="M34" s="367">
        <v>0</v>
      </c>
      <c r="N34" s="367">
        <v>831.52</v>
      </c>
    </row>
    <row r="35" spans="8:16" x14ac:dyDescent="0.25">
      <c r="H35" s="366" t="s">
        <v>338</v>
      </c>
      <c r="I35" s="366" t="s">
        <v>50</v>
      </c>
      <c r="J35" s="366" t="s">
        <v>52</v>
      </c>
      <c r="K35" s="366" t="s">
        <v>240</v>
      </c>
      <c r="L35" s="367">
        <v>0</v>
      </c>
      <c r="M35" s="367">
        <v>0</v>
      </c>
      <c r="N35" s="367">
        <v>979.12</v>
      </c>
    </row>
    <row r="36" spans="8:16" x14ac:dyDescent="0.25">
      <c r="H36" s="366" t="s">
        <v>338</v>
      </c>
      <c r="I36" s="366" t="s">
        <v>50</v>
      </c>
      <c r="J36" s="366" t="s">
        <v>55</v>
      </c>
      <c r="K36" s="366" t="s">
        <v>183</v>
      </c>
      <c r="L36" s="367">
        <v>0</v>
      </c>
      <c r="M36" s="367">
        <v>0</v>
      </c>
      <c r="N36" s="367">
        <v>147.91999999999999</v>
      </c>
      <c r="O36" s="368">
        <f>SUM(L22:N36)</f>
        <v>421403.37999999995</v>
      </c>
      <c r="P36" s="369" t="s">
        <v>84</v>
      </c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P31"/>
  <sheetViews>
    <sheetView workbookViewId="0">
      <selection sqref="A1:F1"/>
    </sheetView>
  </sheetViews>
  <sheetFormatPr defaultColWidth="9.140625" defaultRowHeight="15" x14ac:dyDescent="0.25"/>
  <cols>
    <col min="1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28515625" style="336" bestFit="1" customWidth="1"/>
    <col min="16" max="16" width="21.7109375" style="336" bestFit="1" customWidth="1"/>
    <col min="17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39" t="s">
        <v>32</v>
      </c>
      <c r="B8" s="339" t="s">
        <v>33</v>
      </c>
      <c r="C8" s="339" t="s">
        <v>40</v>
      </c>
      <c r="D8" s="339" t="s">
        <v>34</v>
      </c>
      <c r="E8" s="339" t="s">
        <v>35</v>
      </c>
      <c r="F8" s="339" t="s">
        <v>103</v>
      </c>
      <c r="H8" s="340" t="s">
        <v>338</v>
      </c>
      <c r="I8" s="340" t="s">
        <v>21</v>
      </c>
      <c r="J8" s="340" t="s">
        <v>21</v>
      </c>
      <c r="K8" s="340" t="s">
        <v>21</v>
      </c>
      <c r="L8" s="341">
        <v>13421.57</v>
      </c>
      <c r="M8" s="341">
        <v>5921.53</v>
      </c>
      <c r="N8" s="341">
        <v>28714.15</v>
      </c>
    </row>
    <row r="9" spans="1:16" x14ac:dyDescent="0.25">
      <c r="A9" s="340" t="s">
        <v>338</v>
      </c>
      <c r="B9" s="340" t="s">
        <v>38</v>
      </c>
      <c r="C9" s="340" t="s">
        <v>3</v>
      </c>
      <c r="D9" s="342">
        <v>334.97</v>
      </c>
      <c r="E9" s="342">
        <v>0</v>
      </c>
      <c r="F9" s="342">
        <v>6734.49</v>
      </c>
      <c r="H9" s="343" t="s">
        <v>338</v>
      </c>
      <c r="I9" s="343" t="s">
        <v>21</v>
      </c>
      <c r="J9" s="343" t="s">
        <v>52</v>
      </c>
      <c r="K9" s="343" t="s">
        <v>209</v>
      </c>
      <c r="L9" s="344">
        <v>200.92</v>
      </c>
      <c r="M9" s="344">
        <v>249.53</v>
      </c>
      <c r="N9" s="344">
        <v>7404.81</v>
      </c>
    </row>
    <row r="10" spans="1:16" x14ac:dyDescent="0.25">
      <c r="A10" s="340" t="s">
        <v>338</v>
      </c>
      <c r="B10" s="340" t="s">
        <v>38</v>
      </c>
      <c r="C10" s="340" t="s">
        <v>323</v>
      </c>
      <c r="D10" s="342">
        <v>913.52</v>
      </c>
      <c r="E10" s="342">
        <v>0</v>
      </c>
      <c r="F10" s="342">
        <v>7090.21</v>
      </c>
      <c r="G10" s="345"/>
      <c r="H10" s="343" t="s">
        <v>338</v>
      </c>
      <c r="I10" s="343" t="s">
        <v>21</v>
      </c>
      <c r="J10" s="343" t="s">
        <v>52</v>
      </c>
      <c r="K10" s="343" t="s">
        <v>178</v>
      </c>
      <c r="L10" s="344">
        <v>29951.33</v>
      </c>
      <c r="M10" s="344">
        <v>11847.73</v>
      </c>
      <c r="N10" s="344">
        <v>100083.68</v>
      </c>
    </row>
    <row r="11" spans="1:16" x14ac:dyDescent="0.25">
      <c r="A11" s="340" t="s">
        <v>338</v>
      </c>
      <c r="B11" s="340" t="s">
        <v>38</v>
      </c>
      <c r="C11" s="340" t="s">
        <v>41</v>
      </c>
      <c r="D11" s="342">
        <v>79687.11</v>
      </c>
      <c r="E11" s="342">
        <v>59962.559999999998</v>
      </c>
      <c r="F11" s="342">
        <v>545546.59</v>
      </c>
      <c r="G11" s="345"/>
      <c r="H11" s="343" t="s">
        <v>338</v>
      </c>
      <c r="I11" s="343" t="s">
        <v>21</v>
      </c>
      <c r="J11" s="343" t="s">
        <v>52</v>
      </c>
      <c r="K11" s="343" t="s">
        <v>332</v>
      </c>
      <c r="L11" s="344">
        <v>0</v>
      </c>
      <c r="M11" s="344">
        <v>779.8</v>
      </c>
      <c r="N11" s="344">
        <v>2505.4699999999998</v>
      </c>
    </row>
    <row r="12" spans="1:16" x14ac:dyDescent="0.25">
      <c r="A12" s="340" t="s">
        <v>338</v>
      </c>
      <c r="B12" s="340" t="s">
        <v>39</v>
      </c>
      <c r="C12" s="340" t="s">
        <v>41</v>
      </c>
      <c r="D12" s="342">
        <v>15050.19</v>
      </c>
      <c r="E12" s="342">
        <v>10610.84</v>
      </c>
      <c r="F12" s="342">
        <v>159946.67000000001</v>
      </c>
      <c r="H12" s="343" t="s">
        <v>338</v>
      </c>
      <c r="I12" s="343" t="s">
        <v>21</v>
      </c>
      <c r="J12" s="343" t="s">
        <v>52</v>
      </c>
      <c r="K12" s="343" t="s">
        <v>210</v>
      </c>
      <c r="L12" s="344">
        <v>2887.93</v>
      </c>
      <c r="M12" s="344">
        <v>1701.55</v>
      </c>
      <c r="N12" s="344">
        <v>148466.54999999999</v>
      </c>
    </row>
    <row r="13" spans="1:16" x14ac:dyDescent="0.25">
      <c r="H13" s="343" t="s">
        <v>338</v>
      </c>
      <c r="I13" s="343" t="s">
        <v>21</v>
      </c>
      <c r="J13" s="343" t="s">
        <v>52</v>
      </c>
      <c r="K13" s="343" t="s">
        <v>72</v>
      </c>
      <c r="L13" s="344">
        <v>1444.29</v>
      </c>
      <c r="M13" s="344">
        <v>275.39</v>
      </c>
      <c r="N13" s="344">
        <v>11672.35</v>
      </c>
      <c r="O13" s="346">
        <f>SUM(L9:N13)</f>
        <v>319471.3299999999</v>
      </c>
      <c r="P13" s="347" t="s">
        <v>52</v>
      </c>
    </row>
    <row r="14" spans="1:16" x14ac:dyDescent="0.25">
      <c r="H14" s="348" t="s">
        <v>338</v>
      </c>
      <c r="I14" s="348" t="s">
        <v>21</v>
      </c>
      <c r="J14" s="348" t="s">
        <v>52</v>
      </c>
      <c r="K14" s="348" t="s">
        <v>240</v>
      </c>
      <c r="L14" s="349">
        <v>1608.38</v>
      </c>
      <c r="M14" s="349">
        <v>3370.19</v>
      </c>
      <c r="N14" s="349">
        <v>72557.070000000007</v>
      </c>
      <c r="O14" s="350">
        <f>SUM(L14:N14)</f>
        <v>77535.640000000014</v>
      </c>
      <c r="P14" s="351" t="s">
        <v>254</v>
      </c>
    </row>
    <row r="15" spans="1:16" x14ac:dyDescent="0.25">
      <c r="H15" s="352" t="s">
        <v>338</v>
      </c>
      <c r="I15" s="352" t="s">
        <v>21</v>
      </c>
      <c r="J15" s="352" t="s">
        <v>55</v>
      </c>
      <c r="K15" s="352" t="s">
        <v>182</v>
      </c>
      <c r="L15" s="353">
        <v>0</v>
      </c>
      <c r="M15" s="353">
        <v>551.30999999999995</v>
      </c>
      <c r="N15" s="353">
        <v>528.03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338</v>
      </c>
      <c r="I16" s="352" t="s">
        <v>21</v>
      </c>
      <c r="J16" s="352" t="s">
        <v>55</v>
      </c>
      <c r="K16" s="352" t="s">
        <v>54</v>
      </c>
      <c r="L16" s="353">
        <v>99.71</v>
      </c>
      <c r="M16" s="353">
        <v>1041.8499999999999</v>
      </c>
      <c r="N16" s="353">
        <v>4462.57</v>
      </c>
    </row>
    <row r="17" spans="1:16" x14ac:dyDescent="0.25">
      <c r="A17" s="336" t="s">
        <v>38</v>
      </c>
      <c r="B17" s="359">
        <f>SUM(D11:F11)</f>
        <v>685196.26</v>
      </c>
      <c r="D17" s="502" t="s">
        <v>81</v>
      </c>
      <c r="E17" s="502"/>
      <c r="F17" s="360">
        <f>O13/B21</f>
        <v>0.36062712532996244</v>
      </c>
      <c r="H17" s="352" t="s">
        <v>338</v>
      </c>
      <c r="I17" s="352" t="s">
        <v>21</v>
      </c>
      <c r="J17" s="352" t="s">
        <v>55</v>
      </c>
      <c r="K17" s="352" t="s">
        <v>66</v>
      </c>
      <c r="L17" s="353">
        <v>279.77</v>
      </c>
      <c r="M17" s="353">
        <v>0</v>
      </c>
      <c r="N17" s="353">
        <v>1617.96</v>
      </c>
    </row>
    <row r="18" spans="1:16" x14ac:dyDescent="0.25">
      <c r="A18" s="336" t="s">
        <v>39</v>
      </c>
      <c r="B18" s="359">
        <f>SUM(D12:F12)</f>
        <v>185607.7</v>
      </c>
      <c r="D18" s="481" t="s">
        <v>253</v>
      </c>
      <c r="E18" s="481"/>
      <c r="F18" s="360">
        <f>O14/B21</f>
        <v>8.7524144854622357E-2</v>
      </c>
      <c r="H18" s="352" t="s">
        <v>338</v>
      </c>
      <c r="I18" s="352" t="s">
        <v>21</v>
      </c>
      <c r="J18" s="352" t="s">
        <v>55</v>
      </c>
      <c r="K18" s="352" t="s">
        <v>67</v>
      </c>
      <c r="L18" s="353">
        <v>0</v>
      </c>
      <c r="M18" s="353">
        <v>232</v>
      </c>
      <c r="N18" s="353">
        <v>1155.1300000000001</v>
      </c>
    </row>
    <row r="19" spans="1:16" x14ac:dyDescent="0.25">
      <c r="A19" s="336" t="s">
        <v>2</v>
      </c>
      <c r="B19" s="359">
        <f>SUM(D10:F10)</f>
        <v>8003.73</v>
      </c>
      <c r="D19" s="336" t="s">
        <v>78</v>
      </c>
      <c r="F19" s="360">
        <f>O23/B21</f>
        <v>7.2103790011967248E-2</v>
      </c>
      <c r="H19" s="352" t="s">
        <v>338</v>
      </c>
      <c r="I19" s="352" t="s">
        <v>21</v>
      </c>
      <c r="J19" s="352" t="s">
        <v>55</v>
      </c>
      <c r="K19" s="352" t="s">
        <v>68</v>
      </c>
      <c r="L19" s="353">
        <v>0</v>
      </c>
      <c r="M19" s="353">
        <v>0</v>
      </c>
      <c r="N19" s="353">
        <v>797.26</v>
      </c>
    </row>
    <row r="20" spans="1:16" x14ac:dyDescent="0.25">
      <c r="A20" s="336" t="s">
        <v>3</v>
      </c>
      <c r="B20" s="359">
        <f>SUM(D9:F9)</f>
        <v>7069.46</v>
      </c>
      <c r="D20" s="481" t="s">
        <v>42</v>
      </c>
      <c r="E20" s="481"/>
      <c r="F20" s="360">
        <f>O30/B21</f>
        <v>0.4254967294280026</v>
      </c>
      <c r="H20" s="352" t="s">
        <v>338</v>
      </c>
      <c r="I20" s="352" t="s">
        <v>21</v>
      </c>
      <c r="J20" s="352" t="s">
        <v>55</v>
      </c>
      <c r="K20" s="352" t="s">
        <v>69</v>
      </c>
      <c r="L20" s="353">
        <v>0</v>
      </c>
      <c r="M20" s="353">
        <v>135.63999999999999</v>
      </c>
      <c r="N20" s="353">
        <v>445.77</v>
      </c>
    </row>
    <row r="21" spans="1:16" ht="15.75" thickBot="1" x14ac:dyDescent="0.3">
      <c r="A21" s="361"/>
      <c r="B21" s="362">
        <f>SUM(B17:B20)</f>
        <v>885877.14999999991</v>
      </c>
      <c r="F21" s="363">
        <f>SUM(F17:F20)</f>
        <v>0.94575178962455464</v>
      </c>
      <c r="H21" s="352" t="s">
        <v>338</v>
      </c>
      <c r="I21" s="352" t="s">
        <v>21</v>
      </c>
      <c r="J21" s="352" t="s">
        <v>55</v>
      </c>
      <c r="K21" s="352" t="s">
        <v>183</v>
      </c>
      <c r="L21" s="353">
        <v>1979.06</v>
      </c>
      <c r="M21" s="353">
        <v>226.08</v>
      </c>
      <c r="N21" s="353">
        <v>15861.39</v>
      </c>
    </row>
    <row r="22" spans="1:16" x14ac:dyDescent="0.25">
      <c r="H22" s="352" t="s">
        <v>338</v>
      </c>
      <c r="I22" s="352" t="s">
        <v>21</v>
      </c>
      <c r="J22" s="352" t="s">
        <v>55</v>
      </c>
      <c r="K22" s="352" t="s">
        <v>337</v>
      </c>
      <c r="L22" s="353">
        <v>562.20000000000005</v>
      </c>
      <c r="M22" s="353">
        <v>660.85</v>
      </c>
      <c r="N22" s="353">
        <v>12263.87</v>
      </c>
    </row>
    <row r="23" spans="1:16" x14ac:dyDescent="0.25">
      <c r="H23" s="352" t="s">
        <v>338</v>
      </c>
      <c r="I23" s="352" t="s">
        <v>21</v>
      </c>
      <c r="J23" s="352" t="s">
        <v>55</v>
      </c>
      <c r="K23" s="352" t="s">
        <v>72</v>
      </c>
      <c r="L23" s="353">
        <v>1474.54</v>
      </c>
      <c r="M23" s="353">
        <v>3781.76</v>
      </c>
      <c r="N23" s="353">
        <v>15718.35</v>
      </c>
      <c r="O23" s="364">
        <f>SUM(L15:N23)</f>
        <v>63875.1</v>
      </c>
      <c r="P23" s="365" t="s">
        <v>85</v>
      </c>
    </row>
    <row r="24" spans="1:16" x14ac:dyDescent="0.25">
      <c r="H24" s="366" t="s">
        <v>338</v>
      </c>
      <c r="I24" s="366" t="s">
        <v>43</v>
      </c>
      <c r="J24" s="366" t="s">
        <v>21</v>
      </c>
      <c r="K24" s="366" t="s">
        <v>21</v>
      </c>
      <c r="L24" s="367">
        <v>12124.25</v>
      </c>
      <c r="M24" s="367">
        <v>15575.67</v>
      </c>
      <c r="N24" s="367">
        <v>86497.56</v>
      </c>
    </row>
    <row r="25" spans="1:16" x14ac:dyDescent="0.25">
      <c r="H25" s="366" t="s">
        <v>338</v>
      </c>
      <c r="I25" s="366" t="s">
        <v>45</v>
      </c>
      <c r="J25" s="366" t="s">
        <v>21</v>
      </c>
      <c r="K25" s="366" t="s">
        <v>21</v>
      </c>
      <c r="L25" s="367">
        <v>13597.61</v>
      </c>
      <c r="M25" s="367">
        <v>18202.04</v>
      </c>
      <c r="N25" s="367">
        <v>148967.89000000001</v>
      </c>
    </row>
    <row r="26" spans="1:16" x14ac:dyDescent="0.25">
      <c r="H26" s="366" t="s">
        <v>338</v>
      </c>
      <c r="I26" s="366" t="s">
        <v>46</v>
      </c>
      <c r="J26" s="366" t="s">
        <v>21</v>
      </c>
      <c r="K26" s="366" t="s">
        <v>21</v>
      </c>
      <c r="L26" s="367">
        <v>12400.56</v>
      </c>
      <c r="M26" s="367">
        <v>3036.41</v>
      </c>
      <c r="N26" s="367">
        <v>48026.15</v>
      </c>
    </row>
    <row r="27" spans="1:16" x14ac:dyDescent="0.25">
      <c r="H27" s="366" t="s">
        <v>338</v>
      </c>
      <c r="I27" s="366" t="s">
        <v>50</v>
      </c>
      <c r="J27" s="366" t="s">
        <v>21</v>
      </c>
      <c r="K27" s="366" t="s">
        <v>21</v>
      </c>
      <c r="L27" s="367">
        <v>3329.13</v>
      </c>
      <c r="M27" s="367">
        <v>2757.9</v>
      </c>
      <c r="N27" s="367">
        <v>10258.4</v>
      </c>
    </row>
    <row r="28" spans="1:16" x14ac:dyDescent="0.25">
      <c r="H28" s="366" t="s">
        <v>338</v>
      </c>
      <c r="I28" s="366" t="s">
        <v>50</v>
      </c>
      <c r="J28" s="366" t="s">
        <v>52</v>
      </c>
      <c r="K28" s="366" t="s">
        <v>240</v>
      </c>
      <c r="L28" s="367">
        <v>0</v>
      </c>
      <c r="M28" s="367">
        <v>226.17</v>
      </c>
      <c r="N28" s="367">
        <v>947.5</v>
      </c>
    </row>
    <row r="29" spans="1:16" x14ac:dyDescent="0.25">
      <c r="H29" s="366" t="s">
        <v>338</v>
      </c>
      <c r="I29" s="366" t="s">
        <v>50</v>
      </c>
      <c r="J29" s="366" t="s">
        <v>55</v>
      </c>
      <c r="K29" s="366" t="s">
        <v>54</v>
      </c>
      <c r="L29" s="367">
        <v>0</v>
      </c>
      <c r="M29" s="367">
        <v>0</v>
      </c>
      <c r="N29" s="367">
        <v>366.05</v>
      </c>
    </row>
    <row r="30" spans="1:16" x14ac:dyDescent="0.25">
      <c r="D30" s="345"/>
      <c r="E30" s="345"/>
      <c r="F30" s="345"/>
      <c r="H30" s="366" t="s">
        <v>338</v>
      </c>
      <c r="I30" s="366" t="s">
        <v>50</v>
      </c>
      <c r="J30" s="366" t="s">
        <v>55</v>
      </c>
      <c r="K30" s="366" t="s">
        <v>72</v>
      </c>
      <c r="L30" s="367">
        <v>624.54</v>
      </c>
      <c r="M30" s="367">
        <v>0</v>
      </c>
      <c r="N30" s="367">
        <v>0</v>
      </c>
      <c r="O30" s="368">
        <f>SUM(L24:N30)</f>
        <v>376937.83</v>
      </c>
      <c r="P30" s="369" t="s">
        <v>84</v>
      </c>
    </row>
    <row r="31" spans="1:16" x14ac:dyDescent="0.25">
      <c r="D31" s="345"/>
      <c r="E31" s="345"/>
      <c r="F31" s="345"/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F90B-097C-4F44-B906-FF776A40571D}">
  <dimension ref="A1:G23"/>
  <sheetViews>
    <sheetView zoomScale="130" zoomScaleNormal="130" workbookViewId="0">
      <selection activeCell="D8" sqref="D8:D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439</v>
      </c>
      <c r="B8" s="340" t="s">
        <v>38</v>
      </c>
      <c r="C8" s="340" t="s">
        <v>3</v>
      </c>
      <c r="D8" s="342">
        <v>0</v>
      </c>
      <c r="E8" s="342">
        <v>0</v>
      </c>
      <c r="F8" s="342">
        <v>2485.08</v>
      </c>
    </row>
    <row r="9" spans="1:7" x14ac:dyDescent="0.25">
      <c r="A9" s="340" t="s">
        <v>439</v>
      </c>
      <c r="B9" s="340" t="s">
        <v>38</v>
      </c>
      <c r="C9" s="340" t="s">
        <v>323</v>
      </c>
      <c r="D9" s="342">
        <v>2053.64</v>
      </c>
      <c r="E9" s="342">
        <v>11.14</v>
      </c>
      <c r="F9" s="342">
        <v>8345.56</v>
      </c>
    </row>
    <row r="10" spans="1:7" x14ac:dyDescent="0.25">
      <c r="A10" s="340" t="s">
        <v>439</v>
      </c>
      <c r="B10" s="340" t="s">
        <v>38</v>
      </c>
      <c r="C10" s="340" t="s">
        <v>41</v>
      </c>
      <c r="D10" s="342">
        <v>134133.56</v>
      </c>
      <c r="E10" s="342">
        <v>97683.25</v>
      </c>
      <c r="F10" s="342">
        <v>1176533.27</v>
      </c>
    </row>
    <row r="11" spans="1:7" x14ac:dyDescent="0.25">
      <c r="A11" s="340" t="s">
        <v>439</v>
      </c>
      <c r="B11" s="340" t="s">
        <v>39</v>
      </c>
      <c r="C11" s="340" t="s">
        <v>41</v>
      </c>
      <c r="D11" s="342">
        <v>27671.31</v>
      </c>
      <c r="E11" s="342">
        <v>27581.55</v>
      </c>
      <c r="F11" s="342">
        <v>100790.39999999999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1408350.08</v>
      </c>
      <c r="E14" s="390"/>
      <c r="F14" s="417"/>
    </row>
    <row r="15" spans="1:7" x14ac:dyDescent="0.25">
      <c r="A15" s="336" t="s">
        <v>39</v>
      </c>
      <c r="B15" s="415">
        <f>SUM(D11:F11)</f>
        <v>156043.26</v>
      </c>
    </row>
    <row r="16" spans="1:7" x14ac:dyDescent="0.25">
      <c r="A16" s="336" t="s">
        <v>2</v>
      </c>
      <c r="B16" s="415">
        <f>SUM(D9:F9)</f>
        <v>10410.34</v>
      </c>
    </row>
    <row r="17" spans="1:6" x14ac:dyDescent="0.25">
      <c r="A17" s="336" t="s">
        <v>3</v>
      </c>
      <c r="B17" s="415">
        <f>SUM(D8:F8)</f>
        <v>2485.08</v>
      </c>
    </row>
    <row r="18" spans="1:6" ht="15.75" thickBot="1" x14ac:dyDescent="0.3">
      <c r="A18" s="361"/>
      <c r="B18" s="416">
        <f>SUM(B14:B17)</f>
        <v>1577288.7600000002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P31"/>
  <sheetViews>
    <sheetView workbookViewId="0">
      <selection sqref="A1:F1"/>
    </sheetView>
  </sheetViews>
  <sheetFormatPr defaultColWidth="9.140625" defaultRowHeight="15" x14ac:dyDescent="0.25"/>
  <cols>
    <col min="1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28515625" style="336" bestFit="1" customWidth="1"/>
    <col min="16" max="16" width="21.7109375" style="336" bestFit="1" customWidth="1"/>
    <col min="17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39" t="s">
        <v>32</v>
      </c>
      <c r="B8" s="339" t="s">
        <v>33</v>
      </c>
      <c r="C8" s="339" t="s">
        <v>40</v>
      </c>
      <c r="D8" s="339" t="s">
        <v>34</v>
      </c>
      <c r="E8" s="339" t="s">
        <v>35</v>
      </c>
      <c r="F8" s="339" t="s">
        <v>103</v>
      </c>
      <c r="H8" s="340" t="s">
        <v>338</v>
      </c>
      <c r="I8" s="340" t="s">
        <v>21</v>
      </c>
      <c r="J8" s="340" t="s">
        <v>21</v>
      </c>
      <c r="K8" s="340" t="s">
        <v>21</v>
      </c>
      <c r="L8" s="341">
        <v>14943.18</v>
      </c>
      <c r="M8" s="341">
        <v>23831.61</v>
      </c>
      <c r="N8" s="341">
        <v>35271.589999999997</v>
      </c>
    </row>
    <row r="9" spans="1:16" x14ac:dyDescent="0.25">
      <c r="A9" s="340" t="s">
        <v>338</v>
      </c>
      <c r="B9" s="340" t="s">
        <v>38</v>
      </c>
      <c r="C9" s="340" t="s">
        <v>3</v>
      </c>
      <c r="D9" s="342">
        <v>0</v>
      </c>
      <c r="E9" s="342">
        <v>0</v>
      </c>
      <c r="F9" s="342">
        <v>6701.37</v>
      </c>
      <c r="H9" s="343" t="s">
        <v>338</v>
      </c>
      <c r="I9" s="343" t="s">
        <v>21</v>
      </c>
      <c r="J9" s="343" t="s">
        <v>52</v>
      </c>
      <c r="K9" s="343" t="s">
        <v>209</v>
      </c>
      <c r="L9" s="344">
        <v>493.55</v>
      </c>
      <c r="M9" s="344">
        <v>1792.32</v>
      </c>
      <c r="N9" s="344">
        <v>14510.32</v>
      </c>
    </row>
    <row r="10" spans="1:16" x14ac:dyDescent="0.25">
      <c r="A10" s="340" t="s">
        <v>338</v>
      </c>
      <c r="B10" s="340" t="s">
        <v>38</v>
      </c>
      <c r="C10" s="340" t="s">
        <v>323</v>
      </c>
      <c r="D10" s="342">
        <v>10306.99</v>
      </c>
      <c r="E10" s="342">
        <v>7.55</v>
      </c>
      <c r="F10" s="342">
        <v>7094.57</v>
      </c>
      <c r="G10" s="345"/>
      <c r="H10" s="343" t="s">
        <v>338</v>
      </c>
      <c r="I10" s="343" t="s">
        <v>21</v>
      </c>
      <c r="J10" s="343" t="s">
        <v>52</v>
      </c>
      <c r="K10" s="343" t="s">
        <v>178</v>
      </c>
      <c r="L10" s="344">
        <v>31382.47</v>
      </c>
      <c r="M10" s="344">
        <v>42990.48</v>
      </c>
      <c r="N10" s="344">
        <v>66901.98</v>
      </c>
    </row>
    <row r="11" spans="1:16" x14ac:dyDescent="0.25">
      <c r="A11" s="340" t="s">
        <v>338</v>
      </c>
      <c r="B11" s="340" t="s">
        <v>38</v>
      </c>
      <c r="C11" s="340" t="s">
        <v>41</v>
      </c>
      <c r="D11" s="342">
        <v>91291.78</v>
      </c>
      <c r="E11" s="342">
        <v>132811.10999999999</v>
      </c>
      <c r="F11" s="342">
        <v>489877.62</v>
      </c>
      <c r="G11" s="345"/>
      <c r="H11" s="343" t="s">
        <v>338</v>
      </c>
      <c r="I11" s="343" t="s">
        <v>21</v>
      </c>
      <c r="J11" s="343" t="s">
        <v>52</v>
      </c>
      <c r="K11" s="343" t="s">
        <v>332</v>
      </c>
      <c r="L11" s="344">
        <v>378.69</v>
      </c>
      <c r="M11" s="344">
        <v>658.79</v>
      </c>
      <c r="N11" s="344">
        <v>2988.75</v>
      </c>
    </row>
    <row r="12" spans="1:16" x14ac:dyDescent="0.25">
      <c r="A12" s="340" t="s">
        <v>338</v>
      </c>
      <c r="B12" s="340" t="s">
        <v>39</v>
      </c>
      <c r="C12" s="340" t="s">
        <v>41</v>
      </c>
      <c r="D12" s="342">
        <v>22604.32</v>
      </c>
      <c r="E12" s="342">
        <v>28275.279999999999</v>
      </c>
      <c r="F12" s="342">
        <v>145473.44</v>
      </c>
      <c r="H12" s="343" t="s">
        <v>338</v>
      </c>
      <c r="I12" s="343" t="s">
        <v>21</v>
      </c>
      <c r="J12" s="343" t="s">
        <v>52</v>
      </c>
      <c r="K12" s="343" t="s">
        <v>210</v>
      </c>
      <c r="L12" s="344">
        <v>1889.14</v>
      </c>
      <c r="M12" s="344">
        <v>6012.07</v>
      </c>
      <c r="N12" s="344">
        <v>142459.44</v>
      </c>
    </row>
    <row r="13" spans="1:16" x14ac:dyDescent="0.25">
      <c r="H13" s="343" t="s">
        <v>338</v>
      </c>
      <c r="I13" s="343" t="s">
        <v>21</v>
      </c>
      <c r="J13" s="343" t="s">
        <v>52</v>
      </c>
      <c r="K13" s="343" t="s">
        <v>72</v>
      </c>
      <c r="L13" s="344">
        <v>496.15</v>
      </c>
      <c r="M13" s="344">
        <v>3593.79</v>
      </c>
      <c r="N13" s="344">
        <v>1606.4</v>
      </c>
      <c r="O13" s="346">
        <f>SUM(L9:N13)</f>
        <v>318154.34000000003</v>
      </c>
      <c r="P13" s="347" t="s">
        <v>52</v>
      </c>
    </row>
    <row r="14" spans="1:16" x14ac:dyDescent="0.25">
      <c r="H14" s="348" t="s">
        <v>338</v>
      </c>
      <c r="I14" s="348" t="s">
        <v>21</v>
      </c>
      <c r="J14" s="348" t="s">
        <v>52</v>
      </c>
      <c r="K14" s="348" t="s">
        <v>240</v>
      </c>
      <c r="L14" s="349">
        <v>3677.15</v>
      </c>
      <c r="M14" s="349">
        <v>1817.65</v>
      </c>
      <c r="N14" s="349">
        <v>75895.56</v>
      </c>
      <c r="O14" s="350">
        <f>SUM(L14:N14)</f>
        <v>81390.36</v>
      </c>
      <c r="P14" s="351" t="s">
        <v>254</v>
      </c>
    </row>
    <row r="15" spans="1:16" x14ac:dyDescent="0.25">
      <c r="H15" s="352" t="s">
        <v>338</v>
      </c>
      <c r="I15" s="352" t="s">
        <v>21</v>
      </c>
      <c r="J15" s="352" t="s">
        <v>55</v>
      </c>
      <c r="K15" s="352" t="s">
        <v>339</v>
      </c>
      <c r="L15" s="353">
        <v>0</v>
      </c>
      <c r="M15" s="353">
        <v>131.54</v>
      </c>
      <c r="N15" s="353">
        <v>414.9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338</v>
      </c>
      <c r="I16" s="352" t="s">
        <v>21</v>
      </c>
      <c r="J16" s="352" t="s">
        <v>55</v>
      </c>
      <c r="K16" s="352" t="s">
        <v>182</v>
      </c>
      <c r="L16" s="353">
        <v>0</v>
      </c>
      <c r="M16" s="353">
        <v>437.18</v>
      </c>
      <c r="N16" s="353">
        <v>1726.03</v>
      </c>
    </row>
    <row r="17" spans="1:16" x14ac:dyDescent="0.25">
      <c r="A17" s="336" t="s">
        <v>38</v>
      </c>
      <c r="B17" s="359">
        <f>SUM(D11:F11)</f>
        <v>713980.51</v>
      </c>
      <c r="D17" s="502" t="s">
        <v>81</v>
      </c>
      <c r="E17" s="502"/>
      <c r="F17" s="360">
        <f>O13/B21</f>
        <v>0.340474474431604</v>
      </c>
      <c r="H17" s="352" t="s">
        <v>338</v>
      </c>
      <c r="I17" s="352" t="s">
        <v>21</v>
      </c>
      <c r="J17" s="352" t="s">
        <v>55</v>
      </c>
      <c r="K17" s="352" t="s">
        <v>54</v>
      </c>
      <c r="L17" s="353">
        <v>319.64999999999998</v>
      </c>
      <c r="M17" s="353">
        <v>4641.0600000000004</v>
      </c>
      <c r="N17" s="353">
        <v>5681.7</v>
      </c>
    </row>
    <row r="18" spans="1:16" x14ac:dyDescent="0.25">
      <c r="A18" s="336" t="s">
        <v>39</v>
      </c>
      <c r="B18" s="359">
        <f>SUM(D12:F12)</f>
        <v>196353.04</v>
      </c>
      <c r="D18" s="481" t="s">
        <v>253</v>
      </c>
      <c r="E18" s="481"/>
      <c r="F18" s="360">
        <f>O14/B21</f>
        <v>8.7100304980277946E-2</v>
      </c>
      <c r="H18" s="352" t="s">
        <v>338</v>
      </c>
      <c r="I18" s="352" t="s">
        <v>21</v>
      </c>
      <c r="J18" s="352" t="s">
        <v>55</v>
      </c>
      <c r="K18" s="352" t="s">
        <v>66</v>
      </c>
      <c r="L18" s="353">
        <v>0</v>
      </c>
      <c r="M18" s="353">
        <v>0</v>
      </c>
      <c r="N18" s="353">
        <v>301.10000000000002</v>
      </c>
    </row>
    <row r="19" spans="1:16" x14ac:dyDescent="0.25">
      <c r="A19" s="336" t="s">
        <v>2</v>
      </c>
      <c r="B19" s="359">
        <f>SUM(D10:F10)</f>
        <v>17409.11</v>
      </c>
      <c r="D19" s="336" t="s">
        <v>78</v>
      </c>
      <c r="F19" s="360">
        <f>O22/B21</f>
        <v>5.3752229547659479E-2</v>
      </c>
      <c r="H19" s="352" t="s">
        <v>338</v>
      </c>
      <c r="I19" s="352" t="s">
        <v>21</v>
      </c>
      <c r="J19" s="352" t="s">
        <v>55</v>
      </c>
      <c r="K19" s="353" t="s">
        <v>336</v>
      </c>
      <c r="L19" s="353">
        <v>232</v>
      </c>
      <c r="M19" s="353">
        <v>0</v>
      </c>
      <c r="N19" s="353">
        <v>519.92999999999995</v>
      </c>
    </row>
    <row r="20" spans="1:16" x14ac:dyDescent="0.25">
      <c r="A20" s="336" t="s">
        <v>3</v>
      </c>
      <c r="B20" s="359">
        <f>SUM(D9:F9)</f>
        <v>6701.37</v>
      </c>
      <c r="D20" s="481" t="s">
        <v>42</v>
      </c>
      <c r="E20" s="481"/>
      <c r="F20" s="360">
        <f>O30/B21</f>
        <v>0.43943188336277339</v>
      </c>
      <c r="H20" s="352" t="s">
        <v>338</v>
      </c>
      <c r="I20" s="352" t="s">
        <v>21</v>
      </c>
      <c r="J20" s="352" t="s">
        <v>55</v>
      </c>
      <c r="K20" s="353" t="s">
        <v>183</v>
      </c>
      <c r="L20" s="353">
        <v>548.26</v>
      </c>
      <c r="M20" s="353">
        <v>1336.73</v>
      </c>
      <c r="N20" s="353">
        <v>7714.33</v>
      </c>
    </row>
    <row r="21" spans="1:16" ht="15.75" thickBot="1" x14ac:dyDescent="0.3">
      <c r="A21" s="361"/>
      <c r="B21" s="362">
        <f>SUM(B17:B20)</f>
        <v>934444.03</v>
      </c>
      <c r="F21" s="363">
        <f>SUM(F17:F20)</f>
        <v>0.92075889232231478</v>
      </c>
      <c r="H21" s="352" t="s">
        <v>338</v>
      </c>
      <c r="I21" s="352" t="s">
        <v>21</v>
      </c>
      <c r="J21" s="352" t="s">
        <v>55</v>
      </c>
      <c r="K21" s="353" t="s">
        <v>337</v>
      </c>
      <c r="L21" s="353">
        <v>1223.24</v>
      </c>
      <c r="M21" s="353">
        <v>1162.99</v>
      </c>
      <c r="N21" s="353">
        <v>12979.58</v>
      </c>
    </row>
    <row r="22" spans="1:16" x14ac:dyDescent="0.25">
      <c r="H22" s="352" t="s">
        <v>338</v>
      </c>
      <c r="I22" s="352" t="s">
        <v>21</v>
      </c>
      <c r="J22" s="352" t="s">
        <v>55</v>
      </c>
      <c r="K22" s="352" t="s">
        <v>72</v>
      </c>
      <c r="L22" s="353">
        <v>2183.4499999999998</v>
      </c>
      <c r="M22" s="353">
        <v>814.06</v>
      </c>
      <c r="N22" s="353">
        <v>7860.72</v>
      </c>
      <c r="O22" s="364">
        <f>SUM(L15:N22)</f>
        <v>50228.450000000004</v>
      </c>
      <c r="P22" s="365" t="s">
        <v>85</v>
      </c>
    </row>
    <row r="23" spans="1:16" x14ac:dyDescent="0.25">
      <c r="H23" s="366" t="s">
        <v>338</v>
      </c>
      <c r="I23" s="366" t="s">
        <v>43</v>
      </c>
      <c r="J23" s="366" t="s">
        <v>21</v>
      </c>
      <c r="K23" s="366" t="s">
        <v>21</v>
      </c>
      <c r="L23" s="367">
        <v>23800.92</v>
      </c>
      <c r="M23" s="367">
        <v>31176.5</v>
      </c>
      <c r="N23" s="367">
        <v>76629.179999999993</v>
      </c>
    </row>
    <row r="24" spans="1:16" x14ac:dyDescent="0.25">
      <c r="H24" s="366" t="s">
        <v>338</v>
      </c>
      <c r="I24" s="366" t="s">
        <v>45</v>
      </c>
      <c r="J24" s="366" t="s">
        <v>21</v>
      </c>
      <c r="K24" s="366" t="s">
        <v>21</v>
      </c>
      <c r="L24" s="367">
        <v>29847.919999999998</v>
      </c>
      <c r="M24" s="367">
        <v>21729.45</v>
      </c>
      <c r="N24" s="367">
        <v>139905.49</v>
      </c>
    </row>
    <row r="25" spans="1:16" x14ac:dyDescent="0.25">
      <c r="H25" s="366" t="s">
        <v>338</v>
      </c>
      <c r="I25" s="366" t="s">
        <v>46</v>
      </c>
      <c r="J25" s="366" t="s">
        <v>21</v>
      </c>
      <c r="K25" s="366" t="s">
        <v>21</v>
      </c>
      <c r="L25" s="367">
        <v>5729.68</v>
      </c>
      <c r="M25" s="367">
        <v>12013.24</v>
      </c>
      <c r="N25" s="367">
        <v>45198.41</v>
      </c>
    </row>
    <row r="26" spans="1:16" x14ac:dyDescent="0.25">
      <c r="H26" s="366" t="s">
        <v>338</v>
      </c>
      <c r="I26" s="366" t="s">
        <v>46</v>
      </c>
      <c r="J26" s="366" t="s">
        <v>52</v>
      </c>
      <c r="K26" s="366" t="s">
        <v>178</v>
      </c>
      <c r="L26" s="367">
        <v>0</v>
      </c>
      <c r="M26" s="367">
        <v>0</v>
      </c>
      <c r="N26" s="367">
        <v>3307.3</v>
      </c>
    </row>
    <row r="27" spans="1:16" x14ac:dyDescent="0.25">
      <c r="H27" s="366" t="s">
        <v>338</v>
      </c>
      <c r="I27" s="366" t="s">
        <v>50</v>
      </c>
      <c r="J27" s="366" t="s">
        <v>21</v>
      </c>
      <c r="K27" s="366" t="s">
        <v>21</v>
      </c>
      <c r="L27" s="367">
        <v>7057.64</v>
      </c>
      <c r="M27" s="367">
        <v>6749.68</v>
      </c>
      <c r="N27" s="367">
        <v>7070.14</v>
      </c>
    </row>
    <row r="28" spans="1:16" x14ac:dyDescent="0.25">
      <c r="H28" s="366" t="s">
        <v>338</v>
      </c>
      <c r="I28" s="366" t="s">
        <v>50</v>
      </c>
      <c r="J28" s="366" t="s">
        <v>52</v>
      </c>
      <c r="K28" s="366" t="s">
        <v>332</v>
      </c>
      <c r="L28" s="367">
        <v>0</v>
      </c>
      <c r="M28" s="367">
        <v>202.45</v>
      </c>
      <c r="N28" s="367">
        <v>204.15</v>
      </c>
    </row>
    <row r="29" spans="1:16" x14ac:dyDescent="0.25">
      <c r="H29" s="366" t="s">
        <v>338</v>
      </c>
      <c r="I29" s="366" t="s">
        <v>50</v>
      </c>
      <c r="J29" s="366" t="s">
        <v>55</v>
      </c>
      <c r="K29" s="366" t="s">
        <v>339</v>
      </c>
      <c r="L29" s="367">
        <v>0</v>
      </c>
      <c r="M29" s="367">
        <v>0</v>
      </c>
      <c r="N29" s="367">
        <v>0</v>
      </c>
    </row>
    <row r="30" spans="1:16" x14ac:dyDescent="0.25">
      <c r="D30" s="345"/>
      <c r="E30" s="345"/>
      <c r="F30" s="345"/>
      <c r="H30" s="366" t="s">
        <v>338</v>
      </c>
      <c r="I30" s="366" t="s">
        <v>50</v>
      </c>
      <c r="J30" s="366" t="s">
        <v>55</v>
      </c>
      <c r="K30" s="366" t="s">
        <v>54</v>
      </c>
      <c r="L30" s="367">
        <v>0</v>
      </c>
      <c r="M30" s="367">
        <v>2.35</v>
      </c>
      <c r="N30" s="367">
        <v>0</v>
      </c>
      <c r="O30" s="368">
        <f>SUM(L23:N30)</f>
        <v>410624.49999999994</v>
      </c>
      <c r="P30" s="369" t="s">
        <v>84</v>
      </c>
    </row>
    <row r="31" spans="1:16" x14ac:dyDescent="0.25">
      <c r="D31" s="345"/>
      <c r="E31" s="345"/>
      <c r="F31" s="345"/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P48"/>
  <sheetViews>
    <sheetView workbookViewId="0">
      <selection sqref="A1:F1"/>
    </sheetView>
  </sheetViews>
  <sheetFormatPr defaultColWidth="9.140625" defaultRowHeight="15" x14ac:dyDescent="0.25"/>
  <cols>
    <col min="1" max="7" width="10.7109375" style="336" customWidth="1"/>
    <col min="8" max="8" width="9.140625" style="336"/>
    <col min="9" max="9" width="21.85546875" style="336" bestFit="1" customWidth="1"/>
    <col min="10" max="10" width="12.28515625" style="336" bestFit="1" customWidth="1"/>
    <col min="11" max="11" width="36.7109375" style="336" bestFit="1" customWidth="1"/>
    <col min="12" max="13" width="10.7109375" style="336" customWidth="1"/>
    <col min="14" max="14" width="11.140625" style="336" customWidth="1"/>
    <col min="15" max="15" width="12.28515625" style="336" bestFit="1" customWidth="1"/>
    <col min="16" max="16" width="21.7109375" style="336" bestFit="1" customWidth="1"/>
    <col min="17" max="16384" width="9.140625" style="336"/>
  </cols>
  <sheetData>
    <row r="1" spans="1:16" ht="15.75" thickBot="1" x14ac:dyDescent="0.3">
      <c r="A1" s="486" t="s">
        <v>77</v>
      </c>
      <c r="B1" s="487"/>
      <c r="C1" s="487"/>
      <c r="D1" s="487"/>
      <c r="E1" s="487"/>
      <c r="F1" s="488"/>
      <c r="H1" s="486" t="s">
        <v>186</v>
      </c>
      <c r="I1" s="489"/>
      <c r="J1" s="489"/>
      <c r="K1" s="489"/>
      <c r="L1" s="489"/>
      <c r="M1" s="489"/>
      <c r="N1" s="490"/>
    </row>
    <row r="2" spans="1:16" x14ac:dyDescent="0.25">
      <c r="A2" s="480" t="s">
        <v>73</v>
      </c>
      <c r="B2" s="481"/>
      <c r="C2" s="481"/>
      <c r="D2" s="481"/>
      <c r="E2" s="481"/>
      <c r="F2" s="482"/>
      <c r="H2" s="491" t="s">
        <v>73</v>
      </c>
      <c r="I2" s="492"/>
      <c r="J2" s="492"/>
      <c r="K2" s="492"/>
      <c r="L2" s="492"/>
      <c r="M2" s="492"/>
      <c r="N2" s="493"/>
    </row>
    <row r="3" spans="1:16" x14ac:dyDescent="0.25">
      <c r="A3" s="480" t="s">
        <v>341</v>
      </c>
      <c r="B3" s="481"/>
      <c r="C3" s="481"/>
      <c r="D3" s="481"/>
      <c r="E3" s="481"/>
      <c r="F3" s="482"/>
      <c r="H3" s="480" t="s">
        <v>334</v>
      </c>
      <c r="I3" s="498"/>
      <c r="J3" s="498"/>
      <c r="K3" s="498"/>
      <c r="L3" s="498"/>
      <c r="M3" s="498"/>
      <c r="N3" s="499"/>
    </row>
    <row r="4" spans="1:16" x14ac:dyDescent="0.25">
      <c r="A4" s="480" t="s">
        <v>92</v>
      </c>
      <c r="B4" s="481"/>
      <c r="C4" s="481"/>
      <c r="D4" s="481"/>
      <c r="E4" s="481"/>
      <c r="F4" s="482"/>
      <c r="H4" s="480" t="s">
        <v>92</v>
      </c>
      <c r="I4" s="498"/>
      <c r="J4" s="498"/>
      <c r="K4" s="498"/>
      <c r="L4" s="498"/>
      <c r="M4" s="498"/>
      <c r="N4" s="499"/>
    </row>
    <row r="5" spans="1:16" ht="15.75" thickBot="1" x14ac:dyDescent="0.3">
      <c r="A5" s="483" t="s">
        <v>76</v>
      </c>
      <c r="B5" s="484"/>
      <c r="C5" s="484"/>
      <c r="D5" s="484"/>
      <c r="E5" s="484"/>
      <c r="F5" s="485"/>
      <c r="H5" s="483" t="s">
        <v>76</v>
      </c>
      <c r="I5" s="500"/>
      <c r="J5" s="500"/>
      <c r="K5" s="500"/>
      <c r="L5" s="500"/>
      <c r="M5" s="500"/>
      <c r="N5" s="501"/>
    </row>
    <row r="6" spans="1:16" x14ac:dyDescent="0.25">
      <c r="G6" s="337"/>
    </row>
    <row r="7" spans="1:16" x14ac:dyDescent="0.25">
      <c r="H7" s="338" t="s">
        <v>32</v>
      </c>
      <c r="I7" s="338" t="s">
        <v>335</v>
      </c>
      <c r="J7" s="338" t="s">
        <v>51</v>
      </c>
      <c r="K7" s="338" t="s">
        <v>57</v>
      </c>
      <c r="L7" s="338" t="s">
        <v>34</v>
      </c>
      <c r="M7" s="338" t="s">
        <v>35</v>
      </c>
      <c r="N7" s="338" t="s">
        <v>103</v>
      </c>
    </row>
    <row r="8" spans="1:16" x14ac:dyDescent="0.25">
      <c r="A8" s="339" t="s">
        <v>32</v>
      </c>
      <c r="B8" s="339" t="s">
        <v>33</v>
      </c>
      <c r="C8" s="339" t="s">
        <v>40</v>
      </c>
      <c r="D8" s="339" t="s">
        <v>34</v>
      </c>
      <c r="E8" s="339" t="s">
        <v>35</v>
      </c>
      <c r="F8" s="339" t="s">
        <v>103</v>
      </c>
      <c r="H8" s="340" t="s">
        <v>338</v>
      </c>
      <c r="I8" s="340" t="s">
        <v>21</v>
      </c>
      <c r="J8" s="340" t="s">
        <v>21</v>
      </c>
      <c r="K8" s="340" t="s">
        <v>21</v>
      </c>
      <c r="L8" s="341">
        <v>41733.25</v>
      </c>
      <c r="M8" s="341">
        <v>11231.49</v>
      </c>
      <c r="N8" s="341">
        <v>43078.62</v>
      </c>
    </row>
    <row r="9" spans="1:16" x14ac:dyDescent="0.25">
      <c r="A9" s="340" t="s">
        <v>338</v>
      </c>
      <c r="B9" s="340" t="s">
        <v>38</v>
      </c>
      <c r="C9" s="340" t="s">
        <v>3</v>
      </c>
      <c r="D9" s="342">
        <v>0</v>
      </c>
      <c r="E9" s="342">
        <v>272</v>
      </c>
      <c r="F9" s="342">
        <v>6883.66</v>
      </c>
      <c r="H9" s="343" t="s">
        <v>338</v>
      </c>
      <c r="I9" s="343" t="s">
        <v>21</v>
      </c>
      <c r="J9" s="343" t="s">
        <v>52</v>
      </c>
      <c r="K9" s="343" t="s">
        <v>209</v>
      </c>
      <c r="L9" s="344">
        <v>1154.1199999999999</v>
      </c>
      <c r="M9" s="344">
        <v>204.05</v>
      </c>
      <c r="N9" s="344">
        <v>20145.88</v>
      </c>
    </row>
    <row r="10" spans="1:16" x14ac:dyDescent="0.25">
      <c r="A10" s="340" t="s">
        <v>338</v>
      </c>
      <c r="B10" s="340" t="s">
        <v>38</v>
      </c>
      <c r="C10" s="340" t="s">
        <v>323</v>
      </c>
      <c r="D10" s="342">
        <v>115.15</v>
      </c>
      <c r="E10" s="342">
        <v>1408.38</v>
      </c>
      <c r="F10" s="342">
        <v>5791.63</v>
      </c>
      <c r="G10" s="345"/>
      <c r="H10" s="343" t="s">
        <v>338</v>
      </c>
      <c r="I10" s="343" t="s">
        <v>21</v>
      </c>
      <c r="J10" s="343" t="s">
        <v>52</v>
      </c>
      <c r="K10" s="343" t="s">
        <v>178</v>
      </c>
      <c r="L10" s="344">
        <v>59058.77</v>
      </c>
      <c r="M10" s="344">
        <v>6079.83</v>
      </c>
      <c r="N10" s="344">
        <v>57787.24</v>
      </c>
    </row>
    <row r="11" spans="1:16" x14ac:dyDescent="0.25">
      <c r="A11" s="340" t="s">
        <v>338</v>
      </c>
      <c r="B11" s="340" t="s">
        <v>38</v>
      </c>
      <c r="C11" s="340" t="s">
        <v>41</v>
      </c>
      <c r="D11" s="342">
        <v>191208.06</v>
      </c>
      <c r="E11" s="342">
        <v>51098.05</v>
      </c>
      <c r="F11" s="342">
        <v>518742.71</v>
      </c>
      <c r="G11" s="345"/>
      <c r="H11" s="343" t="s">
        <v>338</v>
      </c>
      <c r="I11" s="343" t="s">
        <v>21</v>
      </c>
      <c r="J11" s="343" t="s">
        <v>52</v>
      </c>
      <c r="K11" s="343" t="s">
        <v>332</v>
      </c>
      <c r="L11" s="344">
        <v>687.4</v>
      </c>
      <c r="M11" s="344">
        <v>419.14</v>
      </c>
      <c r="N11" s="344">
        <v>3117.02</v>
      </c>
    </row>
    <row r="12" spans="1:16" x14ac:dyDescent="0.25">
      <c r="A12" s="340" t="s">
        <v>338</v>
      </c>
      <c r="B12" s="340" t="s">
        <v>39</v>
      </c>
      <c r="C12" s="340" t="s">
        <v>41</v>
      </c>
      <c r="D12" s="342">
        <v>34059.5</v>
      </c>
      <c r="E12" s="342">
        <v>15793.11</v>
      </c>
      <c r="F12" s="342">
        <v>147428.87</v>
      </c>
      <c r="H12" s="343" t="s">
        <v>338</v>
      </c>
      <c r="I12" s="343" t="s">
        <v>21</v>
      </c>
      <c r="J12" s="343" t="s">
        <v>52</v>
      </c>
      <c r="K12" s="343" t="s">
        <v>210</v>
      </c>
      <c r="L12" s="344">
        <v>8703.66</v>
      </c>
      <c r="M12" s="344">
        <v>2907.52</v>
      </c>
      <c r="N12" s="344">
        <v>171331.73</v>
      </c>
    </row>
    <row r="13" spans="1:16" x14ac:dyDescent="0.25">
      <c r="H13" s="343" t="s">
        <v>338</v>
      </c>
      <c r="I13" s="343" t="s">
        <v>21</v>
      </c>
      <c r="J13" s="343" t="s">
        <v>52</v>
      </c>
      <c r="K13" s="343" t="s">
        <v>72</v>
      </c>
      <c r="L13" s="344">
        <v>6267.25</v>
      </c>
      <c r="M13" s="344">
        <v>0</v>
      </c>
      <c r="N13" s="344">
        <v>2320.56</v>
      </c>
      <c r="O13" s="346">
        <f>SUM(L9:N13)</f>
        <v>340184.17</v>
      </c>
      <c r="P13" s="347" t="s">
        <v>52</v>
      </c>
    </row>
    <row r="14" spans="1:16" x14ac:dyDescent="0.25">
      <c r="H14" s="348" t="s">
        <v>338</v>
      </c>
      <c r="I14" s="348" t="s">
        <v>21</v>
      </c>
      <c r="J14" s="348" t="s">
        <v>52</v>
      </c>
      <c r="K14" s="348" t="s">
        <v>240</v>
      </c>
      <c r="L14" s="349">
        <v>2015.09</v>
      </c>
      <c r="M14" s="349">
        <v>837.02</v>
      </c>
      <c r="N14" s="349">
        <v>79070.289999999994</v>
      </c>
      <c r="O14" s="350">
        <f>SUM(L14:N14)</f>
        <v>81922.399999999994</v>
      </c>
      <c r="P14" s="351" t="s">
        <v>254</v>
      </c>
    </row>
    <row r="15" spans="1:16" x14ac:dyDescent="0.25">
      <c r="H15" s="352" t="s">
        <v>338</v>
      </c>
      <c r="I15" s="352" t="s">
        <v>21</v>
      </c>
      <c r="J15" s="352" t="s">
        <v>55</v>
      </c>
      <c r="K15" s="352" t="s">
        <v>182</v>
      </c>
      <c r="L15" s="353">
        <v>0</v>
      </c>
      <c r="M15" s="353">
        <v>353.69</v>
      </c>
      <c r="N15" s="353">
        <v>2384.44</v>
      </c>
    </row>
    <row r="16" spans="1:16" x14ac:dyDescent="0.25">
      <c r="A16" s="354" t="s">
        <v>79</v>
      </c>
      <c r="B16" s="355" t="s">
        <v>80</v>
      </c>
      <c r="D16" s="356" t="s">
        <v>184</v>
      </c>
      <c r="E16" s="357"/>
      <c r="F16" s="358" t="s">
        <v>185</v>
      </c>
      <c r="H16" s="352" t="s">
        <v>338</v>
      </c>
      <c r="I16" s="352" t="s">
        <v>21</v>
      </c>
      <c r="J16" s="352" t="s">
        <v>55</v>
      </c>
      <c r="K16" s="352" t="s">
        <v>54</v>
      </c>
      <c r="L16" s="353">
        <v>119.81</v>
      </c>
      <c r="M16" s="353">
        <v>879.59</v>
      </c>
      <c r="N16" s="353">
        <v>1201.8599999999999</v>
      </c>
    </row>
    <row r="17" spans="1:16" x14ac:dyDescent="0.25">
      <c r="A17" s="336" t="s">
        <v>38</v>
      </c>
      <c r="B17" s="359">
        <f>SUM(D11:F11)</f>
        <v>761048.82000000007</v>
      </c>
      <c r="D17" s="502" t="s">
        <v>81</v>
      </c>
      <c r="E17" s="502"/>
      <c r="F17" s="360">
        <f>O13/B21</f>
        <v>0.3496954958275541</v>
      </c>
      <c r="H17" s="352" t="s">
        <v>338</v>
      </c>
      <c r="I17" s="352" t="s">
        <v>21</v>
      </c>
      <c r="J17" s="352" t="s">
        <v>55</v>
      </c>
      <c r="K17" s="352" t="s">
        <v>66</v>
      </c>
      <c r="L17" s="353">
        <v>391.83</v>
      </c>
      <c r="M17" s="353">
        <v>113.78</v>
      </c>
      <c r="N17" s="353">
        <v>1310.99</v>
      </c>
    </row>
    <row r="18" spans="1:16" x14ac:dyDescent="0.25">
      <c r="A18" s="336" t="s">
        <v>39</v>
      </c>
      <c r="B18" s="359">
        <f>SUM(D12:F12)</f>
        <v>197281.47999999998</v>
      </c>
      <c r="D18" s="481" t="s">
        <v>253</v>
      </c>
      <c r="E18" s="481"/>
      <c r="F18" s="360">
        <f>O14/B21</f>
        <v>8.4212896465415243E-2</v>
      </c>
      <c r="H18" s="352" t="s">
        <v>338</v>
      </c>
      <c r="I18" s="352" t="s">
        <v>21</v>
      </c>
      <c r="J18" s="352" t="s">
        <v>55</v>
      </c>
      <c r="K18" s="352" t="s">
        <v>67</v>
      </c>
      <c r="L18" s="353">
        <v>0</v>
      </c>
      <c r="M18" s="353">
        <v>0</v>
      </c>
      <c r="N18" s="353">
        <v>266.97000000000003</v>
      </c>
    </row>
    <row r="19" spans="1:16" x14ac:dyDescent="0.25">
      <c r="A19" s="336" t="s">
        <v>2</v>
      </c>
      <c r="B19" s="359">
        <f>SUM(D10:F10)</f>
        <v>7315.16</v>
      </c>
      <c r="D19" s="336" t="s">
        <v>78</v>
      </c>
      <c r="F19" s="360">
        <f>O23/B21</f>
        <v>4.7277340716877461E-2</v>
      </c>
      <c r="H19" s="352" t="s">
        <v>338</v>
      </c>
      <c r="I19" s="352" t="s">
        <v>21</v>
      </c>
      <c r="J19" s="352" t="s">
        <v>55</v>
      </c>
      <c r="K19" s="352" t="s">
        <v>96</v>
      </c>
      <c r="L19" s="353">
        <v>0</v>
      </c>
      <c r="M19" s="353">
        <v>0</v>
      </c>
      <c r="N19" s="353">
        <v>2173.98</v>
      </c>
    </row>
    <row r="20" spans="1:16" x14ac:dyDescent="0.25">
      <c r="A20" s="336" t="s">
        <v>3</v>
      </c>
      <c r="B20" s="359">
        <f>SUM(D9:F9)</f>
        <v>7155.66</v>
      </c>
      <c r="D20" s="481" t="s">
        <v>42</v>
      </c>
      <c r="E20" s="481"/>
      <c r="F20" s="360">
        <f>O32/B21</f>
        <v>0.42008559776329191</v>
      </c>
      <c r="H20" s="352" t="s">
        <v>338</v>
      </c>
      <c r="I20" s="352" t="s">
        <v>21</v>
      </c>
      <c r="J20" s="352" t="s">
        <v>55</v>
      </c>
      <c r="K20" s="352" t="s">
        <v>68</v>
      </c>
      <c r="L20" s="353">
        <v>49.61</v>
      </c>
      <c r="M20" s="353">
        <v>482.52</v>
      </c>
      <c r="N20" s="353">
        <v>1161.48</v>
      </c>
    </row>
    <row r="21" spans="1:16" ht="15.75" thickBot="1" x14ac:dyDescent="0.3">
      <c r="A21" s="361"/>
      <c r="B21" s="362">
        <f>SUM(B17:B20)</f>
        <v>972801.12000000011</v>
      </c>
      <c r="F21" s="363">
        <f>SUM(F17:F20)</f>
        <v>0.9012713307731387</v>
      </c>
      <c r="H21" s="352" t="s">
        <v>338</v>
      </c>
      <c r="I21" s="352" t="s">
        <v>21</v>
      </c>
      <c r="J21" s="352" t="s">
        <v>55</v>
      </c>
      <c r="K21" s="352" t="s">
        <v>183</v>
      </c>
      <c r="L21" s="353">
        <v>1736.67</v>
      </c>
      <c r="M21" s="353">
        <v>1621.48</v>
      </c>
      <c r="N21" s="353">
        <v>7458.09</v>
      </c>
    </row>
    <row r="22" spans="1:16" x14ac:dyDescent="0.25">
      <c r="H22" s="352" t="s">
        <v>338</v>
      </c>
      <c r="I22" s="352" t="s">
        <v>21</v>
      </c>
      <c r="J22" s="352" t="s">
        <v>55</v>
      </c>
      <c r="K22" s="352" t="s">
        <v>337</v>
      </c>
      <c r="L22" s="353">
        <v>1755.22</v>
      </c>
      <c r="M22" s="353">
        <v>345.72</v>
      </c>
      <c r="N22" s="353">
        <v>11411.47</v>
      </c>
    </row>
    <row r="23" spans="1:16" x14ac:dyDescent="0.25">
      <c r="H23" s="352" t="s">
        <v>338</v>
      </c>
      <c r="I23" s="352" t="s">
        <v>21</v>
      </c>
      <c r="J23" s="352" t="s">
        <v>55</v>
      </c>
      <c r="K23" s="352" t="s">
        <v>72</v>
      </c>
      <c r="L23" s="353">
        <v>2541.42</v>
      </c>
      <c r="M23" s="353">
        <v>900.19</v>
      </c>
      <c r="N23" s="353">
        <v>7330.64</v>
      </c>
      <c r="O23" s="364">
        <f>SUM(L15:N23)</f>
        <v>45991.450000000004</v>
      </c>
      <c r="P23" s="365" t="s">
        <v>340</v>
      </c>
    </row>
    <row r="24" spans="1:16" x14ac:dyDescent="0.25">
      <c r="H24" s="366" t="s">
        <v>338</v>
      </c>
      <c r="I24" s="366" t="s">
        <v>43</v>
      </c>
      <c r="J24" s="366" t="s">
        <v>21</v>
      </c>
      <c r="K24" s="366" t="s">
        <v>21</v>
      </c>
      <c r="L24" s="367">
        <v>45563.5</v>
      </c>
      <c r="M24" s="367">
        <v>14451.01</v>
      </c>
      <c r="N24" s="367">
        <v>70815.13</v>
      </c>
    </row>
    <row r="25" spans="1:16" x14ac:dyDescent="0.25">
      <c r="H25" s="366" t="s">
        <v>338</v>
      </c>
      <c r="I25" s="366" t="s">
        <v>43</v>
      </c>
      <c r="J25" s="366" t="s">
        <v>52</v>
      </c>
      <c r="K25" s="366" t="s">
        <v>178</v>
      </c>
      <c r="L25" s="367">
        <v>678.56</v>
      </c>
      <c r="M25" s="367">
        <v>0</v>
      </c>
      <c r="N25" s="367">
        <v>543</v>
      </c>
    </row>
    <row r="26" spans="1:16" x14ac:dyDescent="0.25">
      <c r="H26" s="366" t="s">
        <v>338</v>
      </c>
      <c r="I26" s="366" t="s">
        <v>43</v>
      </c>
      <c r="J26" s="366" t="s">
        <v>55</v>
      </c>
      <c r="K26" s="366" t="s">
        <v>182</v>
      </c>
      <c r="L26" s="367">
        <v>0</v>
      </c>
      <c r="M26" s="367">
        <v>0</v>
      </c>
      <c r="N26" s="367">
        <v>1.97</v>
      </c>
    </row>
    <row r="27" spans="1:16" x14ac:dyDescent="0.25">
      <c r="H27" s="366" t="s">
        <v>338</v>
      </c>
      <c r="I27" s="366" t="s">
        <v>45</v>
      </c>
      <c r="J27" s="366" t="s">
        <v>21</v>
      </c>
      <c r="K27" s="366" t="s">
        <v>21</v>
      </c>
      <c r="L27" s="367">
        <v>23956.37</v>
      </c>
      <c r="M27" s="367">
        <v>13849.92</v>
      </c>
      <c r="N27" s="367">
        <v>142654.54</v>
      </c>
    </row>
    <row r="28" spans="1:16" x14ac:dyDescent="0.25">
      <c r="H28" s="366" t="s">
        <v>338</v>
      </c>
      <c r="I28" s="366" t="s">
        <v>46</v>
      </c>
      <c r="J28" s="366" t="s">
        <v>21</v>
      </c>
      <c r="K28" s="366" t="s">
        <v>21</v>
      </c>
      <c r="L28" s="367">
        <v>15128.57</v>
      </c>
      <c r="M28" s="367">
        <v>11046.22</v>
      </c>
      <c r="N28" s="367">
        <v>43311.56</v>
      </c>
    </row>
    <row r="29" spans="1:16" x14ac:dyDescent="0.25">
      <c r="H29" s="366" t="s">
        <v>338</v>
      </c>
      <c r="I29" s="366" t="s">
        <v>46</v>
      </c>
      <c r="J29" s="366" t="s">
        <v>52</v>
      </c>
      <c r="K29" s="366" t="s">
        <v>178</v>
      </c>
      <c r="L29" s="367">
        <v>0</v>
      </c>
      <c r="M29" s="367">
        <v>616.94000000000005</v>
      </c>
      <c r="N29" s="367">
        <v>2857.16</v>
      </c>
    </row>
    <row r="30" spans="1:16" x14ac:dyDescent="0.25">
      <c r="D30" s="345"/>
      <c r="E30" s="345"/>
      <c r="F30" s="345"/>
      <c r="H30" s="366" t="s">
        <v>338</v>
      </c>
      <c r="I30" s="366" t="s">
        <v>46</v>
      </c>
      <c r="J30" s="366" t="s">
        <v>55</v>
      </c>
      <c r="K30" s="366" t="s">
        <v>72</v>
      </c>
      <c r="L30" s="367">
        <v>0</v>
      </c>
      <c r="M30" s="367">
        <v>0</v>
      </c>
      <c r="N30" s="367">
        <v>104.98</v>
      </c>
    </row>
    <row r="31" spans="1:16" x14ac:dyDescent="0.25">
      <c r="D31" s="345"/>
      <c r="E31" s="345"/>
      <c r="F31" s="345"/>
      <c r="H31" s="366" t="s">
        <v>338</v>
      </c>
      <c r="I31" s="366" t="s">
        <v>50</v>
      </c>
      <c r="J31" s="366" t="s">
        <v>21</v>
      </c>
      <c r="K31" s="366" t="s">
        <v>21</v>
      </c>
      <c r="L31" s="367">
        <v>13841.61</v>
      </c>
      <c r="M31" s="367">
        <v>2231.4299999999998</v>
      </c>
      <c r="N31" s="367">
        <v>7007.27</v>
      </c>
    </row>
    <row r="32" spans="1:16" x14ac:dyDescent="0.25">
      <c r="H32" s="366" t="s">
        <v>338</v>
      </c>
      <c r="I32" s="366" t="s">
        <v>50</v>
      </c>
      <c r="J32" s="366" t="s">
        <v>55</v>
      </c>
      <c r="K32" s="366" t="s">
        <v>72</v>
      </c>
      <c r="L32" s="367">
        <v>0</v>
      </c>
      <c r="M32" s="367">
        <v>0</v>
      </c>
      <c r="N32" s="367">
        <v>0</v>
      </c>
      <c r="O32" s="368">
        <f>SUM(L24:N32)</f>
        <v>408659.73999999993</v>
      </c>
      <c r="P32" s="369" t="s">
        <v>84</v>
      </c>
    </row>
    <row r="34" spans="8:14" x14ac:dyDescent="0.25">
      <c r="H34" s="371" t="s">
        <v>32</v>
      </c>
      <c r="I34" s="371" t="s">
        <v>343</v>
      </c>
      <c r="J34" s="371" t="s">
        <v>34</v>
      </c>
      <c r="K34" s="371" t="s">
        <v>35</v>
      </c>
      <c r="L34" s="371" t="s">
        <v>103</v>
      </c>
      <c r="M34" s="371" t="s">
        <v>9</v>
      </c>
    </row>
    <row r="35" spans="8:14" x14ac:dyDescent="0.25">
      <c r="H35" s="371" t="s">
        <v>338</v>
      </c>
      <c r="I35" s="371" t="s">
        <v>2</v>
      </c>
      <c r="J35" s="372">
        <v>115.15</v>
      </c>
      <c r="K35" s="372">
        <v>1408.38</v>
      </c>
      <c r="L35" s="372">
        <v>5791.63</v>
      </c>
      <c r="M35" s="372">
        <f>SUM(J35:L35)</f>
        <v>7315.16</v>
      </c>
    </row>
    <row r="36" spans="8:14" x14ac:dyDescent="0.25">
      <c r="H36" s="371" t="s">
        <v>338</v>
      </c>
      <c r="I36" s="371" t="s">
        <v>351</v>
      </c>
      <c r="J36" s="372">
        <v>0</v>
      </c>
      <c r="K36" s="372">
        <v>0</v>
      </c>
      <c r="L36" s="372">
        <v>0</v>
      </c>
      <c r="M36" s="372">
        <f>SUM(J36:L36)</f>
        <v>0</v>
      </c>
    </row>
    <row r="37" spans="8:14" x14ac:dyDescent="0.25">
      <c r="H37" s="371" t="s">
        <v>338</v>
      </c>
      <c r="I37" s="371" t="s">
        <v>345</v>
      </c>
      <c r="J37" s="372">
        <v>45313.74</v>
      </c>
      <c r="K37" s="372">
        <v>5380.67</v>
      </c>
      <c r="L37" s="372">
        <v>84404.1</v>
      </c>
      <c r="M37" s="372">
        <f>SUM(J37:L37)</f>
        <v>135098.51</v>
      </c>
    </row>
    <row r="38" spans="8:14" x14ac:dyDescent="0.25">
      <c r="H38" s="371" t="s">
        <v>338</v>
      </c>
      <c r="I38" s="371" t="s">
        <v>348</v>
      </c>
      <c r="J38" s="372">
        <v>117254.29</v>
      </c>
      <c r="K38" s="372">
        <v>54392.52</v>
      </c>
      <c r="L38" s="372">
        <v>504649.3</v>
      </c>
      <c r="M38" s="373">
        <f>SUM(J38:L38)</f>
        <v>676296.11</v>
      </c>
      <c r="N38" s="374">
        <f>M45/M38</f>
        <v>0.35737371016373287</v>
      </c>
    </row>
    <row r="39" spans="8:14" x14ac:dyDescent="0.25">
      <c r="H39" s="371" t="s">
        <v>338</v>
      </c>
      <c r="I39" s="371" t="s">
        <v>350</v>
      </c>
      <c r="J39" s="372">
        <v>62699.53</v>
      </c>
      <c r="K39" s="372">
        <v>7389.97</v>
      </c>
      <c r="L39" s="372">
        <v>84001.84</v>
      </c>
      <c r="M39" s="372">
        <f>SUM(J39:L39)</f>
        <v>154091.34</v>
      </c>
    </row>
    <row r="40" spans="8:14" x14ac:dyDescent="0.25">
      <c r="H40" s="371"/>
      <c r="I40" s="371"/>
      <c r="J40" s="371"/>
      <c r="K40" s="372"/>
      <c r="L40" s="372"/>
      <c r="M40" s="372"/>
    </row>
    <row r="41" spans="8:14" x14ac:dyDescent="0.25">
      <c r="H41" s="371" t="s">
        <v>32</v>
      </c>
      <c r="I41" s="371" t="s">
        <v>344</v>
      </c>
      <c r="J41" s="371" t="s">
        <v>34</v>
      </c>
      <c r="K41" s="372" t="s">
        <v>35</v>
      </c>
      <c r="L41" s="372" t="s">
        <v>103</v>
      </c>
      <c r="M41" s="372"/>
    </row>
    <row r="42" spans="8:14" x14ac:dyDescent="0.25">
      <c r="H42" s="371" t="s">
        <v>338</v>
      </c>
      <c r="I42" s="371" t="s">
        <v>21</v>
      </c>
      <c r="J42" s="372">
        <v>24495.47</v>
      </c>
      <c r="K42" s="372">
        <v>0</v>
      </c>
      <c r="L42" s="372">
        <v>59.24</v>
      </c>
      <c r="M42" s="372"/>
    </row>
    <row r="43" spans="8:14" x14ac:dyDescent="0.25">
      <c r="H43" s="371" t="s">
        <v>338</v>
      </c>
      <c r="I43" s="371" t="s">
        <v>346</v>
      </c>
      <c r="J43" s="372">
        <v>17599.36</v>
      </c>
      <c r="K43" s="372">
        <v>8302.65</v>
      </c>
      <c r="L43" s="372">
        <v>67042.039999999994</v>
      </c>
      <c r="M43" s="372"/>
    </row>
    <row r="44" spans="8:14" x14ac:dyDescent="0.25">
      <c r="H44" s="371" t="s">
        <v>338</v>
      </c>
      <c r="I44" s="371" t="s">
        <v>347</v>
      </c>
      <c r="J44" s="372">
        <v>26408.19</v>
      </c>
      <c r="K44" s="372">
        <v>11289.19</v>
      </c>
      <c r="L44" s="372">
        <v>104112.69</v>
      </c>
      <c r="M44" s="372"/>
    </row>
    <row r="45" spans="8:14" x14ac:dyDescent="0.25">
      <c r="H45" s="371" t="s">
        <v>338</v>
      </c>
      <c r="I45" s="371" t="s">
        <v>349</v>
      </c>
      <c r="J45" s="372">
        <v>919.29</v>
      </c>
      <c r="K45" s="372">
        <v>1111.04</v>
      </c>
      <c r="L45" s="372">
        <v>4906</v>
      </c>
      <c r="M45" s="373">
        <f>SUM(J43:L45)</f>
        <v>241690.45</v>
      </c>
    </row>
    <row r="46" spans="8:14" x14ac:dyDescent="0.25">
      <c r="K46" s="370"/>
      <c r="L46" s="370"/>
      <c r="M46" s="370"/>
    </row>
    <row r="47" spans="8:14" x14ac:dyDescent="0.25">
      <c r="K47" s="370"/>
      <c r="L47" s="370"/>
      <c r="M47" s="370"/>
    </row>
    <row r="48" spans="8:14" x14ac:dyDescent="0.25">
      <c r="K48" s="370"/>
      <c r="L48" s="370"/>
      <c r="M48" s="370"/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P64"/>
  <sheetViews>
    <sheetView workbookViewId="0">
      <selection sqref="A1:F1"/>
    </sheetView>
  </sheetViews>
  <sheetFormatPr defaultRowHeight="12.75" x14ac:dyDescent="0.2"/>
  <cols>
    <col min="1" max="7" width="10.7109375" customWidth="1"/>
    <col min="9" max="9" width="21.85546875" bestFit="1" customWidth="1"/>
    <col min="10" max="10" width="12.28515625" bestFit="1" customWidth="1"/>
    <col min="11" max="11" width="36.7109375" bestFit="1" customWidth="1"/>
    <col min="12" max="13" width="10.7109375" customWidth="1"/>
    <col min="14" max="14" width="11.140625" customWidth="1"/>
    <col min="15" max="15" width="12.28515625" bestFit="1" customWidth="1"/>
    <col min="16" max="16" width="21.7109375" bestFit="1" customWidth="1"/>
  </cols>
  <sheetData>
    <row r="1" spans="1:16" ht="13.5" thickBot="1" x14ac:dyDescent="0.25">
      <c r="A1" s="516" t="s">
        <v>77</v>
      </c>
      <c r="B1" s="517"/>
      <c r="C1" s="517"/>
      <c r="D1" s="517"/>
      <c r="E1" s="517"/>
      <c r="F1" s="518"/>
      <c r="H1" s="516" t="s">
        <v>186</v>
      </c>
      <c r="I1" s="519"/>
      <c r="J1" s="519"/>
      <c r="K1" s="519"/>
      <c r="L1" s="519"/>
      <c r="M1" s="519"/>
      <c r="N1" s="520"/>
    </row>
    <row r="2" spans="1:16" x14ac:dyDescent="0.2">
      <c r="A2" s="504" t="s">
        <v>73</v>
      </c>
      <c r="B2" s="505"/>
      <c r="C2" s="505"/>
      <c r="D2" s="505"/>
      <c r="E2" s="505"/>
      <c r="F2" s="506"/>
      <c r="H2" s="521" t="s">
        <v>73</v>
      </c>
      <c r="I2" s="522"/>
      <c r="J2" s="522"/>
      <c r="K2" s="522"/>
      <c r="L2" s="522"/>
      <c r="M2" s="522"/>
      <c r="N2" s="523"/>
    </row>
    <row r="3" spans="1:16" x14ac:dyDescent="0.2">
      <c r="A3" s="504" t="s">
        <v>333</v>
      </c>
      <c r="B3" s="505"/>
      <c r="C3" s="505"/>
      <c r="D3" s="505"/>
      <c r="E3" s="505"/>
      <c r="F3" s="506"/>
      <c r="H3" s="504" t="s">
        <v>334</v>
      </c>
      <c r="I3" s="507"/>
      <c r="J3" s="507"/>
      <c r="K3" s="507"/>
      <c r="L3" s="507"/>
      <c r="M3" s="507"/>
      <c r="N3" s="508"/>
    </row>
    <row r="4" spans="1:16" x14ac:dyDescent="0.2">
      <c r="A4" s="504" t="s">
        <v>92</v>
      </c>
      <c r="B4" s="505"/>
      <c r="C4" s="505"/>
      <c r="D4" s="505"/>
      <c r="E4" s="505"/>
      <c r="F4" s="506"/>
      <c r="H4" s="504" t="s">
        <v>92</v>
      </c>
      <c r="I4" s="507"/>
      <c r="J4" s="507"/>
      <c r="K4" s="507"/>
      <c r="L4" s="507"/>
      <c r="M4" s="507"/>
      <c r="N4" s="508"/>
    </row>
    <row r="5" spans="1:16" ht="13.5" thickBot="1" x14ac:dyDescent="0.25">
      <c r="A5" s="509" t="s">
        <v>76</v>
      </c>
      <c r="B5" s="510"/>
      <c r="C5" s="510"/>
      <c r="D5" s="510"/>
      <c r="E5" s="510"/>
      <c r="F5" s="511"/>
      <c r="H5" s="509" t="s">
        <v>76</v>
      </c>
      <c r="I5" s="512"/>
      <c r="J5" s="512"/>
      <c r="K5" s="512"/>
      <c r="L5" s="512"/>
      <c r="M5" s="512"/>
      <c r="N5" s="513"/>
    </row>
    <row r="6" spans="1:16" x14ac:dyDescent="0.2">
      <c r="G6" s="211"/>
    </row>
    <row r="7" spans="1:16" x14ac:dyDescent="0.2">
      <c r="H7" s="315" t="s">
        <v>32</v>
      </c>
      <c r="I7" s="315" t="s">
        <v>335</v>
      </c>
      <c r="J7" s="315" t="s">
        <v>51</v>
      </c>
      <c r="K7" s="315" t="s">
        <v>57</v>
      </c>
      <c r="L7" s="315" t="s">
        <v>34</v>
      </c>
      <c r="M7" s="315" t="s">
        <v>35</v>
      </c>
      <c r="N7" s="315" t="s">
        <v>103</v>
      </c>
    </row>
    <row r="8" spans="1:16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  <c r="H8" s="113" t="s">
        <v>338</v>
      </c>
      <c r="I8" s="113" t="s">
        <v>21</v>
      </c>
      <c r="J8" s="113" t="s">
        <v>21</v>
      </c>
      <c r="K8" s="113" t="s">
        <v>21</v>
      </c>
      <c r="L8" s="314">
        <v>12243.49</v>
      </c>
      <c r="M8" s="314">
        <v>10059.030000000001</v>
      </c>
      <c r="N8" s="314">
        <v>26398.6</v>
      </c>
    </row>
    <row r="9" spans="1:16" x14ac:dyDescent="0.2">
      <c r="A9" s="113" t="s">
        <v>338</v>
      </c>
      <c r="B9" s="113" t="s">
        <v>38</v>
      </c>
      <c r="C9" s="113" t="s">
        <v>3</v>
      </c>
      <c r="D9" s="326">
        <v>310.19</v>
      </c>
      <c r="E9" s="326">
        <v>0</v>
      </c>
      <c r="F9" s="326">
        <v>6883.66</v>
      </c>
      <c r="H9" s="258" t="s">
        <v>338</v>
      </c>
      <c r="I9" s="258" t="s">
        <v>21</v>
      </c>
      <c r="J9" s="258" t="s">
        <v>52</v>
      </c>
      <c r="K9" s="258" t="s">
        <v>209</v>
      </c>
      <c r="L9" s="328">
        <v>204.05</v>
      </c>
      <c r="M9" s="328">
        <v>707.85</v>
      </c>
      <c r="N9" s="328">
        <v>16766.87</v>
      </c>
    </row>
    <row r="10" spans="1:16" x14ac:dyDescent="0.2">
      <c r="A10" s="113" t="s">
        <v>338</v>
      </c>
      <c r="B10" s="113" t="s">
        <v>38</v>
      </c>
      <c r="C10" s="113" t="s">
        <v>323</v>
      </c>
      <c r="D10" s="326">
        <v>9783.42</v>
      </c>
      <c r="E10" s="326">
        <v>5970.78</v>
      </c>
      <c r="F10" s="326">
        <v>179.34</v>
      </c>
      <c r="G10" s="53"/>
      <c r="H10" s="258" t="s">
        <v>338</v>
      </c>
      <c r="I10" s="258" t="s">
        <v>21</v>
      </c>
      <c r="J10" s="258" t="s">
        <v>52</v>
      </c>
      <c r="K10" s="258" t="s">
        <v>178</v>
      </c>
      <c r="L10" s="328">
        <v>18495.73</v>
      </c>
      <c r="M10" s="328">
        <v>27938.41</v>
      </c>
      <c r="N10" s="328">
        <v>72351.27</v>
      </c>
    </row>
    <row r="11" spans="1:16" x14ac:dyDescent="0.2">
      <c r="A11" s="113" t="s">
        <v>338</v>
      </c>
      <c r="B11" s="113" t="s">
        <v>38</v>
      </c>
      <c r="C11" s="113" t="s">
        <v>41</v>
      </c>
      <c r="D11" s="326">
        <v>62197.22</v>
      </c>
      <c r="E11" s="326">
        <v>98269</v>
      </c>
      <c r="F11" s="326">
        <v>525926.41</v>
      </c>
      <c r="G11" s="53"/>
      <c r="H11" s="258" t="s">
        <v>338</v>
      </c>
      <c r="I11" s="258" t="s">
        <v>21</v>
      </c>
      <c r="J11" s="258" t="s">
        <v>52</v>
      </c>
      <c r="K11" s="258" t="s">
        <v>332</v>
      </c>
      <c r="L11" s="328">
        <v>419.14</v>
      </c>
      <c r="M11" s="328">
        <v>34.01</v>
      </c>
      <c r="N11" s="328">
        <v>2139.84</v>
      </c>
    </row>
    <row r="12" spans="1:16" x14ac:dyDescent="0.2">
      <c r="A12" s="113" t="s">
        <v>338</v>
      </c>
      <c r="B12" s="113" t="s">
        <v>39</v>
      </c>
      <c r="C12" s="113" t="s">
        <v>41</v>
      </c>
      <c r="D12" s="326">
        <v>18793.830000000002</v>
      </c>
      <c r="E12" s="326">
        <v>28835.82</v>
      </c>
      <c r="F12" s="326">
        <v>144330.26</v>
      </c>
      <c r="H12" s="258" t="s">
        <v>338</v>
      </c>
      <c r="I12" s="258" t="s">
        <v>21</v>
      </c>
      <c r="J12" s="258" t="s">
        <v>52</v>
      </c>
      <c r="K12" s="258" t="s">
        <v>210</v>
      </c>
      <c r="L12" s="328">
        <v>2954.62</v>
      </c>
      <c r="M12" s="328">
        <v>2718.87</v>
      </c>
      <c r="N12" s="328">
        <v>180972.07</v>
      </c>
    </row>
    <row r="13" spans="1:16" x14ac:dyDescent="0.2">
      <c r="H13" s="258" t="s">
        <v>338</v>
      </c>
      <c r="I13" s="258" t="s">
        <v>21</v>
      </c>
      <c r="J13" s="258" t="s">
        <v>52</v>
      </c>
      <c r="K13" s="258" t="s">
        <v>72</v>
      </c>
      <c r="L13" s="328">
        <v>2535.5700000000002</v>
      </c>
      <c r="M13" s="328">
        <v>91.04</v>
      </c>
      <c r="N13" s="328">
        <v>3247.88</v>
      </c>
      <c r="O13" s="332">
        <f>SUM(L9:N13)</f>
        <v>331577.21999999997</v>
      </c>
      <c r="P13" s="287" t="s">
        <v>52</v>
      </c>
    </row>
    <row r="14" spans="1:16" x14ac:dyDescent="0.2">
      <c r="H14" s="273" t="s">
        <v>338</v>
      </c>
      <c r="I14" s="273" t="s">
        <v>21</v>
      </c>
      <c r="J14" s="273" t="s">
        <v>52</v>
      </c>
      <c r="K14" s="273" t="s">
        <v>240</v>
      </c>
      <c r="L14" s="329">
        <v>731.04</v>
      </c>
      <c r="M14" s="329">
        <v>4040.25</v>
      </c>
      <c r="N14" s="329">
        <v>63408.99</v>
      </c>
      <c r="O14" s="333">
        <f>SUM(L14:N14)</f>
        <v>68180.28</v>
      </c>
      <c r="P14" s="285" t="s">
        <v>254</v>
      </c>
    </row>
    <row r="15" spans="1:16" x14ac:dyDescent="0.2">
      <c r="H15" s="113" t="s">
        <v>338</v>
      </c>
      <c r="I15" s="113" t="s">
        <v>21</v>
      </c>
      <c r="J15" s="113" t="s">
        <v>21</v>
      </c>
      <c r="K15" s="113" t="s">
        <v>21</v>
      </c>
      <c r="L15" s="314">
        <v>0</v>
      </c>
      <c r="M15" s="314">
        <v>0</v>
      </c>
      <c r="N15" s="314">
        <v>0</v>
      </c>
    </row>
    <row r="16" spans="1:16" x14ac:dyDescent="0.2">
      <c r="A16" s="59" t="s">
        <v>79</v>
      </c>
      <c r="B16" s="204" t="s">
        <v>80</v>
      </c>
      <c r="D16" s="205" t="s">
        <v>184</v>
      </c>
      <c r="E16" s="206"/>
      <c r="F16" s="207" t="s">
        <v>185</v>
      </c>
      <c r="H16" s="256" t="s">
        <v>338</v>
      </c>
      <c r="I16" s="256" t="s">
        <v>21</v>
      </c>
      <c r="J16" s="256" t="s">
        <v>55</v>
      </c>
      <c r="K16" s="256" t="s">
        <v>339</v>
      </c>
      <c r="L16" s="330">
        <v>0</v>
      </c>
      <c r="M16" s="330">
        <v>265.01</v>
      </c>
      <c r="N16" s="330">
        <v>3148.19</v>
      </c>
    </row>
    <row r="17" spans="1:16" x14ac:dyDescent="0.2">
      <c r="A17" s="58" t="s">
        <v>38</v>
      </c>
      <c r="B17" s="209">
        <f>SUM(D11:F11)</f>
        <v>686392.63</v>
      </c>
      <c r="D17" s="514" t="s">
        <v>81</v>
      </c>
      <c r="E17" s="515"/>
      <c r="F17" s="219">
        <f>O13/B21</f>
        <v>0.36781431173958579</v>
      </c>
      <c r="H17" s="256" t="s">
        <v>338</v>
      </c>
      <c r="I17" s="256" t="s">
        <v>21</v>
      </c>
      <c r="J17" s="256" t="s">
        <v>55</v>
      </c>
      <c r="K17" s="256" t="s">
        <v>182</v>
      </c>
      <c r="L17" s="330">
        <v>443.77</v>
      </c>
      <c r="M17" s="330">
        <v>3319.97</v>
      </c>
      <c r="N17" s="330">
        <v>1547.8</v>
      </c>
    </row>
    <row r="18" spans="1:16" x14ac:dyDescent="0.2">
      <c r="A18" s="58" t="s">
        <v>39</v>
      </c>
      <c r="B18" s="209">
        <f>SUM(D12:F12)</f>
        <v>191959.91</v>
      </c>
      <c r="D18" s="503" t="s">
        <v>253</v>
      </c>
      <c r="E18" s="505"/>
      <c r="F18" s="219">
        <f>O14/B21</f>
        <v>7.5631500747886854E-2</v>
      </c>
      <c r="H18" s="256" t="s">
        <v>338</v>
      </c>
      <c r="I18" s="256" t="s">
        <v>21</v>
      </c>
      <c r="J18" s="256" t="s">
        <v>55</v>
      </c>
      <c r="K18" s="256" t="s">
        <v>65</v>
      </c>
      <c r="L18" s="330">
        <v>40.619999999999997</v>
      </c>
      <c r="M18" s="330">
        <v>0</v>
      </c>
      <c r="N18" s="330">
        <v>92.02</v>
      </c>
    </row>
    <row r="19" spans="1:16" x14ac:dyDescent="0.2">
      <c r="A19" s="58" t="s">
        <v>2</v>
      </c>
      <c r="B19" s="218">
        <f>SUM(D10:F10)</f>
        <v>15933.54</v>
      </c>
      <c r="C19" s="58"/>
      <c r="D19" s="58" t="s">
        <v>78</v>
      </c>
      <c r="F19" s="219">
        <f>O26/B21</f>
        <v>8.2720699062041214E-2</v>
      </c>
      <c r="H19" s="256" t="s">
        <v>338</v>
      </c>
      <c r="I19" s="256" t="s">
        <v>21</v>
      </c>
      <c r="J19" s="256" t="s">
        <v>55</v>
      </c>
      <c r="K19" s="256" t="s">
        <v>54</v>
      </c>
      <c r="L19" s="330">
        <v>0</v>
      </c>
      <c r="M19" s="330">
        <v>94.06</v>
      </c>
      <c r="N19" s="330">
        <v>43.34</v>
      </c>
    </row>
    <row r="20" spans="1:16" x14ac:dyDescent="0.2">
      <c r="A20" s="58" t="s">
        <v>3</v>
      </c>
      <c r="B20" s="209">
        <f>SUM(D9:F9)</f>
        <v>7193.8499999999995</v>
      </c>
      <c r="D20" s="503" t="s">
        <v>42</v>
      </c>
      <c r="E20" s="503"/>
      <c r="F20" s="219">
        <f>O34/B21</f>
        <v>0.4198099673722076</v>
      </c>
      <c r="H20" s="256" t="s">
        <v>338</v>
      </c>
      <c r="I20" s="256" t="s">
        <v>21</v>
      </c>
      <c r="J20" s="256" t="s">
        <v>55</v>
      </c>
      <c r="K20" s="256" t="s">
        <v>66</v>
      </c>
      <c r="L20" s="330">
        <v>261.64</v>
      </c>
      <c r="M20" s="330">
        <v>0</v>
      </c>
      <c r="N20" s="330">
        <v>215.41</v>
      </c>
    </row>
    <row r="21" spans="1:16" ht="13.5" thickBot="1" x14ac:dyDescent="0.25">
      <c r="A21" s="4"/>
      <c r="B21" s="210">
        <f>SUM(B17:B20)</f>
        <v>901479.93</v>
      </c>
      <c r="D21" s="58"/>
      <c r="F21" s="208">
        <f>SUM(F17:F20)</f>
        <v>0.94597647892172132</v>
      </c>
      <c r="H21" s="256" t="s">
        <v>338</v>
      </c>
      <c r="I21" s="256" t="s">
        <v>21</v>
      </c>
      <c r="J21" s="256" t="s">
        <v>55</v>
      </c>
      <c r="K21" s="256" t="s">
        <v>96</v>
      </c>
      <c r="L21" s="330">
        <v>0</v>
      </c>
      <c r="M21" s="330">
        <v>56</v>
      </c>
      <c r="N21" s="330">
        <v>2117.98</v>
      </c>
    </row>
    <row r="22" spans="1:16" x14ac:dyDescent="0.2">
      <c r="D22" s="58"/>
      <c r="H22" s="256" t="s">
        <v>338</v>
      </c>
      <c r="I22" s="256" t="s">
        <v>21</v>
      </c>
      <c r="J22" s="256" t="s">
        <v>55</v>
      </c>
      <c r="K22" s="256" t="s">
        <v>68</v>
      </c>
      <c r="L22" s="330">
        <v>472.46</v>
      </c>
      <c r="M22" s="330">
        <v>73.41</v>
      </c>
      <c r="N22" s="330">
        <v>3038.57</v>
      </c>
    </row>
    <row r="23" spans="1:16" x14ac:dyDescent="0.2">
      <c r="D23" s="58"/>
      <c r="H23" s="256" t="s">
        <v>338</v>
      </c>
      <c r="I23" s="256" t="s">
        <v>21</v>
      </c>
      <c r="J23" s="256" t="s">
        <v>55</v>
      </c>
      <c r="K23" s="256" t="s">
        <v>336</v>
      </c>
      <c r="L23" s="330">
        <v>418.17</v>
      </c>
      <c r="M23" s="330">
        <v>2276.84</v>
      </c>
      <c r="N23" s="330">
        <v>3065.89</v>
      </c>
    </row>
    <row r="24" spans="1:16" x14ac:dyDescent="0.2">
      <c r="D24" s="58"/>
      <c r="H24" s="256" t="s">
        <v>338</v>
      </c>
      <c r="I24" s="256" t="s">
        <v>21</v>
      </c>
      <c r="J24" s="256" t="s">
        <v>55</v>
      </c>
      <c r="K24" s="256" t="s">
        <v>183</v>
      </c>
      <c r="L24" s="330">
        <v>1541.33</v>
      </c>
      <c r="M24" s="330">
        <v>2819.59</v>
      </c>
      <c r="N24" s="330">
        <v>18448.28</v>
      </c>
    </row>
    <row r="25" spans="1:16" x14ac:dyDescent="0.2">
      <c r="H25" s="256" t="s">
        <v>338</v>
      </c>
      <c r="I25" s="256" t="s">
        <v>21</v>
      </c>
      <c r="J25" s="256" t="s">
        <v>55</v>
      </c>
      <c r="K25" s="256" t="s">
        <v>337</v>
      </c>
      <c r="L25" s="330">
        <v>639.87</v>
      </c>
      <c r="M25" s="330">
        <v>1536.86</v>
      </c>
      <c r="N25" s="330">
        <v>9312.73</v>
      </c>
    </row>
    <row r="26" spans="1:16" x14ac:dyDescent="0.2">
      <c r="H26" s="256" t="s">
        <v>338</v>
      </c>
      <c r="I26" s="256" t="s">
        <v>21</v>
      </c>
      <c r="J26" s="256" t="s">
        <v>55</v>
      </c>
      <c r="K26" s="256" t="s">
        <v>72</v>
      </c>
      <c r="L26" s="330">
        <v>3658.92</v>
      </c>
      <c r="M26" s="330">
        <v>4727.2299999999996</v>
      </c>
      <c r="N26" s="330">
        <v>10895.09</v>
      </c>
      <c r="O26" s="334">
        <f>SUM(L16:N26)</f>
        <v>74571.049999999988</v>
      </c>
      <c r="P26" s="284" t="s">
        <v>340</v>
      </c>
    </row>
    <row r="27" spans="1:16" x14ac:dyDescent="0.2">
      <c r="H27" s="316" t="s">
        <v>338</v>
      </c>
      <c r="I27" s="316" t="s">
        <v>43</v>
      </c>
      <c r="J27" s="316" t="s">
        <v>21</v>
      </c>
      <c r="K27" s="316" t="s">
        <v>21</v>
      </c>
      <c r="L27" s="331">
        <v>11451.23</v>
      </c>
      <c r="M27" s="331">
        <v>23973.119999999999</v>
      </c>
      <c r="N27" s="331">
        <v>75704.539999999994</v>
      </c>
    </row>
    <row r="28" spans="1:16" x14ac:dyDescent="0.2">
      <c r="H28" s="316" t="s">
        <v>338</v>
      </c>
      <c r="I28" s="316" t="s">
        <v>43</v>
      </c>
      <c r="J28" s="316" t="s">
        <v>52</v>
      </c>
      <c r="K28" s="316" t="s">
        <v>178</v>
      </c>
      <c r="L28" s="331">
        <v>0</v>
      </c>
      <c r="M28" s="331">
        <v>0</v>
      </c>
      <c r="N28" s="331">
        <v>489.74</v>
      </c>
    </row>
    <row r="29" spans="1:16" x14ac:dyDescent="0.2">
      <c r="H29" s="316" t="s">
        <v>338</v>
      </c>
      <c r="I29" s="316" t="s">
        <v>43</v>
      </c>
      <c r="J29" s="316" t="s">
        <v>55</v>
      </c>
      <c r="K29" s="316" t="s">
        <v>72</v>
      </c>
      <c r="L29" s="331">
        <v>0</v>
      </c>
      <c r="M29" s="331">
        <v>0</v>
      </c>
      <c r="N29" s="331">
        <v>889.16</v>
      </c>
    </row>
    <row r="30" spans="1:16" x14ac:dyDescent="0.2">
      <c r="D30" s="53"/>
      <c r="E30" s="53"/>
      <c r="F30" s="53"/>
      <c r="H30" s="316" t="s">
        <v>338</v>
      </c>
      <c r="I30" s="316" t="s">
        <v>45</v>
      </c>
      <c r="J30" s="316" t="s">
        <v>21</v>
      </c>
      <c r="K30" s="316" t="s">
        <v>21</v>
      </c>
      <c r="L30" s="331">
        <v>16394.88</v>
      </c>
      <c r="M30" s="331">
        <v>29343.16</v>
      </c>
      <c r="N30" s="331">
        <v>129059.76</v>
      </c>
    </row>
    <row r="31" spans="1:16" x14ac:dyDescent="0.2">
      <c r="D31" s="53"/>
      <c r="E31" s="53"/>
      <c r="F31" s="53"/>
      <c r="G31" s="58"/>
      <c r="H31" s="316" t="s">
        <v>338</v>
      </c>
      <c r="I31" s="316" t="s">
        <v>46</v>
      </c>
      <c r="J31" s="316" t="s">
        <v>21</v>
      </c>
      <c r="K31" s="316" t="s">
        <v>21</v>
      </c>
      <c r="L31" s="331">
        <v>14088.81</v>
      </c>
      <c r="M31" s="331">
        <v>8882.75</v>
      </c>
      <c r="N31" s="331">
        <v>47206.89</v>
      </c>
    </row>
    <row r="32" spans="1:16" x14ac:dyDescent="0.2">
      <c r="G32" s="58"/>
      <c r="H32" s="316" t="s">
        <v>338</v>
      </c>
      <c r="I32" s="316" t="s">
        <v>50</v>
      </c>
      <c r="J32" s="316" t="s">
        <v>21</v>
      </c>
      <c r="K32" s="316" t="s">
        <v>21</v>
      </c>
      <c r="L32" s="331">
        <v>4089.32</v>
      </c>
      <c r="M32" s="331">
        <v>10118.14</v>
      </c>
      <c r="N32" s="331">
        <v>5950.27</v>
      </c>
    </row>
    <row r="33" spans="7:16" x14ac:dyDescent="0.2">
      <c r="G33" s="58"/>
      <c r="H33" s="316" t="s">
        <v>338</v>
      </c>
      <c r="I33" s="316" t="s">
        <v>50</v>
      </c>
      <c r="J33" s="316" t="s">
        <v>55</v>
      </c>
      <c r="K33" s="316" t="s">
        <v>66</v>
      </c>
      <c r="L33" s="331">
        <v>0</v>
      </c>
      <c r="M33" s="331">
        <v>0</v>
      </c>
      <c r="N33" s="331">
        <v>650</v>
      </c>
    </row>
    <row r="34" spans="7:16" x14ac:dyDescent="0.2">
      <c r="G34" s="58"/>
      <c r="H34" s="316" t="s">
        <v>338</v>
      </c>
      <c r="I34" s="316" t="s">
        <v>50</v>
      </c>
      <c r="J34" s="316" t="s">
        <v>55</v>
      </c>
      <c r="K34" s="316" t="s">
        <v>72</v>
      </c>
      <c r="L34" s="331">
        <v>0</v>
      </c>
      <c r="M34" s="331">
        <v>0</v>
      </c>
      <c r="N34" s="331">
        <v>158.49</v>
      </c>
      <c r="O34" s="335">
        <f>SUM(L27:N34)</f>
        <v>378450.26</v>
      </c>
      <c r="P34" s="317" t="s">
        <v>84</v>
      </c>
    </row>
    <row r="35" spans="7:16" x14ac:dyDescent="0.2">
      <c r="G35" s="58"/>
    </row>
    <row r="36" spans="7:16" x14ac:dyDescent="0.2">
      <c r="G36" s="58"/>
    </row>
    <row r="37" spans="7:16" x14ac:dyDescent="0.2">
      <c r="G37" s="58"/>
    </row>
    <row r="38" spans="7:16" x14ac:dyDescent="0.2">
      <c r="G38" s="58"/>
    </row>
    <row r="39" spans="7:16" x14ac:dyDescent="0.2">
      <c r="G39" s="58"/>
    </row>
    <row r="40" spans="7:16" x14ac:dyDescent="0.2">
      <c r="G40" s="58"/>
    </row>
    <row r="41" spans="7:16" x14ac:dyDescent="0.2">
      <c r="G41" s="58"/>
    </row>
    <row r="42" spans="7:16" x14ac:dyDescent="0.2">
      <c r="G42" s="58"/>
    </row>
    <row r="43" spans="7:16" x14ac:dyDescent="0.2">
      <c r="G43" s="58"/>
    </row>
    <row r="44" spans="7:16" x14ac:dyDescent="0.2">
      <c r="G44" s="58"/>
    </row>
    <row r="45" spans="7:16" x14ac:dyDescent="0.2">
      <c r="G45" s="58"/>
    </row>
    <row r="46" spans="7:16" x14ac:dyDescent="0.2">
      <c r="G46" s="58"/>
    </row>
    <row r="47" spans="7:16" x14ac:dyDescent="0.2">
      <c r="G47" s="58"/>
    </row>
    <row r="48" spans="7:16" x14ac:dyDescent="0.2">
      <c r="G48" s="58"/>
    </row>
    <row r="49" spans="7:7" x14ac:dyDescent="0.2">
      <c r="G49" s="58"/>
    </row>
    <row r="50" spans="7:7" x14ac:dyDescent="0.2">
      <c r="G50" s="58"/>
    </row>
    <row r="51" spans="7:7" x14ac:dyDescent="0.2">
      <c r="G51" s="58"/>
    </row>
    <row r="52" spans="7:7" x14ac:dyDescent="0.2">
      <c r="G52" s="58"/>
    </row>
    <row r="53" spans="7:7" x14ac:dyDescent="0.2">
      <c r="G53" s="58"/>
    </row>
    <row r="54" spans="7:7" x14ac:dyDescent="0.2">
      <c r="G54" s="58"/>
    </row>
    <row r="55" spans="7:7" x14ac:dyDescent="0.2">
      <c r="G55" s="58"/>
    </row>
    <row r="56" spans="7:7" x14ac:dyDescent="0.2">
      <c r="G56" s="58"/>
    </row>
    <row r="57" spans="7:7" x14ac:dyDescent="0.2">
      <c r="G57" s="58"/>
    </row>
    <row r="58" spans="7:7" x14ac:dyDescent="0.2">
      <c r="G58" s="58"/>
    </row>
    <row r="59" spans="7:7" x14ac:dyDescent="0.2">
      <c r="G59" s="58"/>
    </row>
    <row r="60" spans="7:7" x14ac:dyDescent="0.2">
      <c r="G60" s="58"/>
    </row>
    <row r="61" spans="7:7" x14ac:dyDescent="0.2">
      <c r="G61" s="58"/>
    </row>
    <row r="62" spans="7:7" x14ac:dyDescent="0.2">
      <c r="G62" s="58"/>
    </row>
    <row r="63" spans="7:7" x14ac:dyDescent="0.2">
      <c r="G63" s="58"/>
    </row>
    <row r="64" spans="7:7" x14ac:dyDescent="0.2">
      <c r="G64" s="58"/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P64"/>
  <sheetViews>
    <sheetView workbookViewId="0">
      <selection sqref="A1:F1"/>
    </sheetView>
  </sheetViews>
  <sheetFormatPr defaultRowHeight="12.75" x14ac:dyDescent="0.2"/>
  <cols>
    <col min="1" max="7" width="10.7109375" customWidth="1"/>
    <col min="9" max="9" width="21.85546875" bestFit="1" customWidth="1"/>
    <col min="10" max="10" width="12.28515625" bestFit="1" customWidth="1"/>
    <col min="11" max="11" width="36.7109375" bestFit="1" customWidth="1"/>
    <col min="12" max="13" width="10.7109375" customWidth="1"/>
    <col min="14" max="14" width="11.140625" customWidth="1"/>
    <col min="15" max="15" width="12.28515625" bestFit="1" customWidth="1"/>
    <col min="16" max="16" width="21.7109375" bestFit="1" customWidth="1"/>
  </cols>
  <sheetData>
    <row r="1" spans="1:16" ht="13.5" thickBot="1" x14ac:dyDescent="0.25">
      <c r="A1" s="516" t="s">
        <v>77</v>
      </c>
      <c r="B1" s="517"/>
      <c r="C1" s="517"/>
      <c r="D1" s="517"/>
      <c r="E1" s="517"/>
      <c r="F1" s="518"/>
      <c r="H1" s="516" t="s">
        <v>186</v>
      </c>
      <c r="I1" s="519"/>
      <c r="J1" s="519"/>
      <c r="K1" s="519"/>
      <c r="L1" s="519"/>
      <c r="M1" s="519"/>
      <c r="N1" s="520"/>
    </row>
    <row r="2" spans="1:16" x14ac:dyDescent="0.2">
      <c r="A2" s="504" t="s">
        <v>73</v>
      </c>
      <c r="B2" s="505"/>
      <c r="C2" s="505"/>
      <c r="D2" s="505"/>
      <c r="E2" s="505"/>
      <c r="F2" s="506"/>
      <c r="H2" s="521" t="s">
        <v>73</v>
      </c>
      <c r="I2" s="522"/>
      <c r="J2" s="522"/>
      <c r="K2" s="522"/>
      <c r="L2" s="522"/>
      <c r="M2" s="522"/>
      <c r="N2" s="523"/>
    </row>
    <row r="3" spans="1:16" x14ac:dyDescent="0.2">
      <c r="A3" s="504" t="s">
        <v>333</v>
      </c>
      <c r="B3" s="505"/>
      <c r="C3" s="505"/>
      <c r="D3" s="505"/>
      <c r="E3" s="505"/>
      <c r="F3" s="506"/>
      <c r="H3" s="504" t="s">
        <v>334</v>
      </c>
      <c r="I3" s="507"/>
      <c r="J3" s="507"/>
      <c r="K3" s="507"/>
      <c r="L3" s="507"/>
      <c r="M3" s="507"/>
      <c r="N3" s="508"/>
    </row>
    <row r="4" spans="1:16" x14ac:dyDescent="0.2">
      <c r="A4" s="504" t="s">
        <v>92</v>
      </c>
      <c r="B4" s="505"/>
      <c r="C4" s="505"/>
      <c r="D4" s="505"/>
      <c r="E4" s="505"/>
      <c r="F4" s="506"/>
      <c r="H4" s="504" t="s">
        <v>92</v>
      </c>
      <c r="I4" s="507"/>
      <c r="J4" s="507"/>
      <c r="K4" s="507"/>
      <c r="L4" s="507"/>
      <c r="M4" s="507"/>
      <c r="N4" s="508"/>
    </row>
    <row r="5" spans="1:16" ht="13.5" thickBot="1" x14ac:dyDescent="0.25">
      <c r="A5" s="509" t="s">
        <v>76</v>
      </c>
      <c r="B5" s="510"/>
      <c r="C5" s="510"/>
      <c r="D5" s="510"/>
      <c r="E5" s="510"/>
      <c r="F5" s="511"/>
      <c r="H5" s="509" t="s">
        <v>76</v>
      </c>
      <c r="I5" s="512"/>
      <c r="J5" s="512"/>
      <c r="K5" s="512"/>
      <c r="L5" s="512"/>
      <c r="M5" s="512"/>
      <c r="N5" s="513"/>
    </row>
    <row r="6" spans="1:16" x14ac:dyDescent="0.2">
      <c r="G6" s="211"/>
    </row>
    <row r="8" spans="1:16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  <c r="H8" s="315" t="s">
        <v>32</v>
      </c>
      <c r="I8" s="315" t="s">
        <v>335</v>
      </c>
      <c r="J8" s="315" t="s">
        <v>51</v>
      </c>
      <c r="K8" s="315" t="s">
        <v>57</v>
      </c>
      <c r="L8" s="315" t="s">
        <v>34</v>
      </c>
      <c r="M8" s="315" t="s">
        <v>35</v>
      </c>
      <c r="N8" s="315" t="s">
        <v>103</v>
      </c>
    </row>
    <row r="9" spans="1:16" x14ac:dyDescent="0.2">
      <c r="A9" s="113" t="s">
        <v>180</v>
      </c>
      <c r="B9" s="113" t="s">
        <v>38</v>
      </c>
      <c r="C9" s="113" t="s">
        <v>3</v>
      </c>
      <c r="D9" s="326">
        <v>0</v>
      </c>
      <c r="E9" s="326">
        <v>0</v>
      </c>
      <c r="F9" s="326">
        <v>6679.35</v>
      </c>
      <c r="H9" s="258" t="s">
        <v>180</v>
      </c>
      <c r="I9" s="258" t="s">
        <v>21</v>
      </c>
      <c r="J9" s="258" t="s">
        <v>52</v>
      </c>
      <c r="K9" s="258" t="s">
        <v>209</v>
      </c>
      <c r="L9" s="318">
        <v>707.85</v>
      </c>
      <c r="M9" s="318">
        <v>1355.45</v>
      </c>
      <c r="N9" s="318">
        <v>17310.439999999999</v>
      </c>
      <c r="O9" s="52"/>
    </row>
    <row r="10" spans="1:16" x14ac:dyDescent="0.2">
      <c r="A10" s="113" t="s">
        <v>180</v>
      </c>
      <c r="B10" s="113" t="s">
        <v>38</v>
      </c>
      <c r="C10" s="113" t="s">
        <v>323</v>
      </c>
      <c r="D10" s="326">
        <v>16477.330000000002</v>
      </c>
      <c r="E10" s="326">
        <v>2423.48</v>
      </c>
      <c r="F10" s="326">
        <v>0</v>
      </c>
      <c r="G10" s="53"/>
      <c r="H10" s="258" t="s">
        <v>180</v>
      </c>
      <c r="I10" s="258" t="s">
        <v>21</v>
      </c>
      <c r="J10" s="258" t="s">
        <v>52</v>
      </c>
      <c r="K10" s="258" t="s">
        <v>178</v>
      </c>
      <c r="L10" s="318">
        <v>35281.85</v>
      </c>
      <c r="M10" s="318">
        <v>34878.03</v>
      </c>
      <c r="N10" s="318">
        <v>70032.39</v>
      </c>
      <c r="O10" s="52"/>
    </row>
    <row r="11" spans="1:16" x14ac:dyDescent="0.2">
      <c r="A11" s="113" t="s">
        <v>180</v>
      </c>
      <c r="B11" s="113" t="s">
        <v>38</v>
      </c>
      <c r="C11" s="113" t="s">
        <v>41</v>
      </c>
      <c r="D11" s="326">
        <v>135839.14000000001</v>
      </c>
      <c r="E11" s="326">
        <v>109537.12</v>
      </c>
      <c r="F11" s="326">
        <v>498914.62</v>
      </c>
      <c r="G11" s="53"/>
      <c r="H11" s="258" t="s">
        <v>180</v>
      </c>
      <c r="I11" s="258" t="s">
        <v>21</v>
      </c>
      <c r="J11" s="258" t="s">
        <v>52</v>
      </c>
      <c r="K11" s="258" t="s">
        <v>332</v>
      </c>
      <c r="L11" s="318">
        <v>301.77</v>
      </c>
      <c r="M11" s="318">
        <v>725.52</v>
      </c>
      <c r="N11" s="318">
        <v>1621.71</v>
      </c>
      <c r="O11" s="52"/>
    </row>
    <row r="12" spans="1:16" x14ac:dyDescent="0.2">
      <c r="A12" s="113" t="s">
        <v>180</v>
      </c>
      <c r="B12" s="113" t="s">
        <v>39</v>
      </c>
      <c r="C12" s="113" t="s">
        <v>41</v>
      </c>
      <c r="D12" s="326">
        <v>34326.42</v>
      </c>
      <c r="E12" s="326">
        <v>26333.65</v>
      </c>
      <c r="F12" s="326">
        <v>137523.45000000001</v>
      </c>
      <c r="H12" s="258" t="s">
        <v>180</v>
      </c>
      <c r="I12" s="258" t="s">
        <v>21</v>
      </c>
      <c r="J12" s="258" t="s">
        <v>52</v>
      </c>
      <c r="K12" s="258" t="s">
        <v>210</v>
      </c>
      <c r="L12" s="318">
        <v>1986.22</v>
      </c>
      <c r="M12" s="318">
        <v>6497.37</v>
      </c>
      <c r="N12" s="318">
        <v>168841.54</v>
      </c>
      <c r="O12" s="52"/>
    </row>
    <row r="13" spans="1:16" x14ac:dyDescent="0.2">
      <c r="H13" s="258" t="s">
        <v>180</v>
      </c>
      <c r="I13" s="258" t="s">
        <v>21</v>
      </c>
      <c r="J13" s="258" t="s">
        <v>52</v>
      </c>
      <c r="K13" s="258" t="s">
        <v>72</v>
      </c>
      <c r="L13" s="318">
        <v>7311.24</v>
      </c>
      <c r="M13" s="318">
        <v>3511.04</v>
      </c>
      <c r="N13" s="318">
        <v>0</v>
      </c>
      <c r="O13" s="319">
        <f>SUM(L9:N13)</f>
        <v>350362.42</v>
      </c>
      <c r="P13" s="287" t="s">
        <v>52</v>
      </c>
    </row>
    <row r="14" spans="1:16" x14ac:dyDescent="0.2">
      <c r="H14" s="273" t="s">
        <v>180</v>
      </c>
      <c r="I14" s="273" t="s">
        <v>21</v>
      </c>
      <c r="J14" s="273" t="s">
        <v>52</v>
      </c>
      <c r="K14" s="273" t="s">
        <v>240</v>
      </c>
      <c r="L14" s="320">
        <v>4936.47</v>
      </c>
      <c r="M14" s="320">
        <v>3561.97</v>
      </c>
      <c r="N14" s="320">
        <v>65924.100000000006</v>
      </c>
      <c r="O14" s="321">
        <f>SUM(L14:N14)</f>
        <v>74422.540000000008</v>
      </c>
      <c r="P14" s="285" t="s">
        <v>254</v>
      </c>
    </row>
    <row r="15" spans="1:16" x14ac:dyDescent="0.2">
      <c r="H15" s="256" t="s">
        <v>180</v>
      </c>
      <c r="I15" s="256" t="s">
        <v>21</v>
      </c>
      <c r="J15" s="256" t="s">
        <v>55</v>
      </c>
      <c r="K15" s="256" t="s">
        <v>182</v>
      </c>
      <c r="L15" s="322">
        <v>73.41</v>
      </c>
      <c r="M15" s="322">
        <v>495.73</v>
      </c>
      <c r="N15" s="322">
        <v>1673.88</v>
      </c>
      <c r="O15" s="52"/>
    </row>
    <row r="16" spans="1:16" x14ac:dyDescent="0.2">
      <c r="A16" s="59" t="s">
        <v>79</v>
      </c>
      <c r="B16" s="204" t="s">
        <v>80</v>
      </c>
      <c r="D16" s="205" t="s">
        <v>184</v>
      </c>
      <c r="E16" s="206"/>
      <c r="F16" s="207" t="s">
        <v>185</v>
      </c>
      <c r="H16" s="256" t="s">
        <v>180</v>
      </c>
      <c r="I16" s="256" t="s">
        <v>21</v>
      </c>
      <c r="J16" s="256" t="s">
        <v>55</v>
      </c>
      <c r="K16" s="256" t="s">
        <v>65</v>
      </c>
      <c r="L16" s="322">
        <v>0</v>
      </c>
      <c r="M16" s="322">
        <v>0</v>
      </c>
      <c r="N16" s="322">
        <v>139.29</v>
      </c>
      <c r="O16" s="52"/>
    </row>
    <row r="17" spans="1:16" x14ac:dyDescent="0.2">
      <c r="A17" s="58" t="s">
        <v>38</v>
      </c>
      <c r="B17" s="209">
        <f>SUM(D11:F11)</f>
        <v>744290.88</v>
      </c>
      <c r="D17" s="514" t="s">
        <v>81</v>
      </c>
      <c r="E17" s="515"/>
      <c r="F17" s="219">
        <f>O13/B21</f>
        <v>0.36192424939354656</v>
      </c>
      <c r="H17" s="256" t="s">
        <v>180</v>
      </c>
      <c r="I17" s="256" t="s">
        <v>21</v>
      </c>
      <c r="J17" s="256" t="s">
        <v>55</v>
      </c>
      <c r="K17" s="256" t="s">
        <v>54</v>
      </c>
      <c r="L17" s="322">
        <v>96.25</v>
      </c>
      <c r="M17" s="322">
        <v>1422.27</v>
      </c>
      <c r="N17" s="322">
        <v>6161.57</v>
      </c>
      <c r="O17" s="52"/>
    </row>
    <row r="18" spans="1:16" x14ac:dyDescent="0.2">
      <c r="A18" s="58" t="s">
        <v>39</v>
      </c>
      <c r="B18" s="209">
        <f>SUM(D12:F12)</f>
        <v>198183.52000000002</v>
      </c>
      <c r="D18" s="503" t="s">
        <v>253</v>
      </c>
      <c r="E18" s="505"/>
      <c r="F18" s="219">
        <f>O14/B21</f>
        <v>7.6878456106854148E-2</v>
      </c>
      <c r="H18" s="256" t="s">
        <v>180</v>
      </c>
      <c r="I18" s="256" t="s">
        <v>21</v>
      </c>
      <c r="J18" s="256" t="s">
        <v>55</v>
      </c>
      <c r="K18" s="256" t="s">
        <v>66</v>
      </c>
      <c r="L18" s="322">
        <v>1541.96</v>
      </c>
      <c r="M18" s="322">
        <v>0</v>
      </c>
      <c r="N18" s="322">
        <v>3621.95</v>
      </c>
      <c r="O18" s="52"/>
    </row>
    <row r="19" spans="1:16" x14ac:dyDescent="0.2">
      <c r="A19" s="58" t="s">
        <v>2</v>
      </c>
      <c r="B19" s="218">
        <f>SUM(D10:F10)</f>
        <v>18900.810000000001</v>
      </c>
      <c r="C19" s="58"/>
      <c r="D19" s="58" t="s">
        <v>78</v>
      </c>
      <c r="F19" s="219">
        <f>O23/B21</f>
        <v>8.1310479029198524E-2</v>
      </c>
      <c r="H19" s="256" t="s">
        <v>180</v>
      </c>
      <c r="I19" s="256" t="s">
        <v>21</v>
      </c>
      <c r="J19" s="256" t="s">
        <v>55</v>
      </c>
      <c r="K19" s="256" t="s">
        <v>67</v>
      </c>
      <c r="L19" s="322">
        <v>321.02999999999997</v>
      </c>
      <c r="M19" s="322">
        <v>321.25</v>
      </c>
      <c r="N19" s="322">
        <v>864.98</v>
      </c>
      <c r="O19" s="52"/>
    </row>
    <row r="20" spans="1:16" x14ac:dyDescent="0.2">
      <c r="A20" s="58" t="s">
        <v>3</v>
      </c>
      <c r="B20" s="209">
        <f>SUM(D9:F9)</f>
        <v>6679.35</v>
      </c>
      <c r="D20" s="503" t="s">
        <v>42</v>
      </c>
      <c r="E20" s="503"/>
      <c r="F20" s="219">
        <f>O33/B21</f>
        <v>0.39090948551494864</v>
      </c>
      <c r="H20" s="256" t="s">
        <v>180</v>
      </c>
      <c r="I20" s="256" t="s">
        <v>21</v>
      </c>
      <c r="J20" s="256" t="s">
        <v>55</v>
      </c>
      <c r="K20" s="256" t="s">
        <v>336</v>
      </c>
      <c r="L20" s="322">
        <v>453.49</v>
      </c>
      <c r="M20" s="322">
        <v>2101.6</v>
      </c>
      <c r="N20" s="322">
        <v>2637.09</v>
      </c>
      <c r="O20" s="52"/>
    </row>
    <row r="21" spans="1:16" ht="13.5" thickBot="1" x14ac:dyDescent="0.25">
      <c r="A21" s="4"/>
      <c r="B21" s="210">
        <f>SUM(B17:B20)</f>
        <v>968054.56</v>
      </c>
      <c r="D21" s="58"/>
      <c r="F21" s="208">
        <f>SUM(F17:F20)</f>
        <v>0.91102267004454784</v>
      </c>
      <c r="H21" s="256" t="s">
        <v>180</v>
      </c>
      <c r="I21" s="256" t="s">
        <v>21</v>
      </c>
      <c r="J21" s="256" t="s">
        <v>55</v>
      </c>
      <c r="K21" s="256" t="s">
        <v>183</v>
      </c>
      <c r="L21" s="322">
        <v>2444.6999999999998</v>
      </c>
      <c r="M21" s="322">
        <v>2471.73</v>
      </c>
      <c r="N21" s="322">
        <v>16936.689999999999</v>
      </c>
      <c r="O21" s="52"/>
    </row>
    <row r="22" spans="1:16" x14ac:dyDescent="0.2">
      <c r="D22" s="58"/>
      <c r="H22" s="256" t="s">
        <v>180</v>
      </c>
      <c r="I22" s="256" t="s">
        <v>21</v>
      </c>
      <c r="J22" s="256" t="s">
        <v>55</v>
      </c>
      <c r="K22" s="256" t="s">
        <v>337</v>
      </c>
      <c r="L22" s="322">
        <v>965.64</v>
      </c>
      <c r="M22" s="322">
        <v>666.3</v>
      </c>
      <c r="N22" s="322">
        <v>4805.53</v>
      </c>
      <c r="O22" s="52"/>
    </row>
    <row r="23" spans="1:16" x14ac:dyDescent="0.2">
      <c r="D23" s="58"/>
      <c r="H23" s="256" t="s">
        <v>180</v>
      </c>
      <c r="I23" s="256" t="s">
        <v>21</v>
      </c>
      <c r="J23" s="256" t="s">
        <v>55</v>
      </c>
      <c r="K23" s="256" t="s">
        <v>72</v>
      </c>
      <c r="L23" s="322">
        <v>6527.1</v>
      </c>
      <c r="M23" s="322">
        <v>3917.64</v>
      </c>
      <c r="N23" s="322">
        <v>18051.900000000001</v>
      </c>
      <c r="O23" s="323">
        <f>SUM(L15:N23)</f>
        <v>78712.98000000001</v>
      </c>
      <c r="P23" s="284" t="s">
        <v>85</v>
      </c>
    </row>
    <row r="24" spans="1:16" x14ac:dyDescent="0.2">
      <c r="D24" s="58"/>
      <c r="H24" s="316" t="s">
        <v>180</v>
      </c>
      <c r="I24" s="316" t="s">
        <v>43</v>
      </c>
      <c r="J24" s="316" t="s">
        <v>21</v>
      </c>
      <c r="K24" s="316" t="s">
        <v>21</v>
      </c>
      <c r="L24" s="324">
        <v>26077.48</v>
      </c>
      <c r="M24" s="324">
        <v>30984.15</v>
      </c>
      <c r="N24" s="324">
        <v>52604.14</v>
      </c>
      <c r="O24" s="52"/>
    </row>
    <row r="25" spans="1:16" x14ac:dyDescent="0.2">
      <c r="H25" s="316" t="s">
        <v>180</v>
      </c>
      <c r="I25" s="316" t="s">
        <v>43</v>
      </c>
      <c r="J25" s="316" t="s">
        <v>55</v>
      </c>
      <c r="K25" s="316" t="s">
        <v>182</v>
      </c>
      <c r="L25" s="324">
        <v>0</v>
      </c>
      <c r="M25" s="324">
        <v>0</v>
      </c>
      <c r="N25" s="324">
        <v>104.18</v>
      </c>
      <c r="O25" s="52"/>
    </row>
    <row r="26" spans="1:16" x14ac:dyDescent="0.2">
      <c r="H26" s="316" t="s">
        <v>180</v>
      </c>
      <c r="I26" s="316" t="s">
        <v>43</v>
      </c>
      <c r="J26" s="316" t="s">
        <v>55</v>
      </c>
      <c r="K26" s="316" t="s">
        <v>54</v>
      </c>
      <c r="L26" s="324">
        <v>0</v>
      </c>
      <c r="M26" s="324">
        <v>0</v>
      </c>
      <c r="N26" s="324">
        <v>70.430000000000007</v>
      </c>
      <c r="O26" s="52"/>
    </row>
    <row r="27" spans="1:16" x14ac:dyDescent="0.2">
      <c r="H27" s="316" t="s">
        <v>180</v>
      </c>
      <c r="I27" s="316" t="s">
        <v>43</v>
      </c>
      <c r="J27" s="316" t="s">
        <v>55</v>
      </c>
      <c r="K27" s="316" t="s">
        <v>183</v>
      </c>
      <c r="L27" s="324">
        <v>0</v>
      </c>
      <c r="M27" s="324">
        <v>254.91</v>
      </c>
      <c r="N27" s="324">
        <v>417.33</v>
      </c>
      <c r="O27" s="52"/>
    </row>
    <row r="28" spans="1:16" x14ac:dyDescent="0.2">
      <c r="H28" s="316" t="s">
        <v>180</v>
      </c>
      <c r="I28" s="316" t="s">
        <v>45</v>
      </c>
      <c r="J28" s="316" t="s">
        <v>21</v>
      </c>
      <c r="K28" s="316" t="s">
        <v>21</v>
      </c>
      <c r="L28" s="324">
        <v>33343.54</v>
      </c>
      <c r="M28" s="324">
        <v>17898.25</v>
      </c>
      <c r="N28" s="324">
        <v>124661.33</v>
      </c>
      <c r="O28" s="52"/>
    </row>
    <row r="29" spans="1:16" x14ac:dyDescent="0.2">
      <c r="H29" s="316" t="s">
        <v>180</v>
      </c>
      <c r="I29" s="316" t="s">
        <v>46</v>
      </c>
      <c r="J29" s="316" t="s">
        <v>21</v>
      </c>
      <c r="K29" s="316" t="s">
        <v>21</v>
      </c>
      <c r="L29" s="324">
        <v>11570.32</v>
      </c>
      <c r="M29" s="324">
        <v>7832.66</v>
      </c>
      <c r="N29" s="324">
        <v>49385.7</v>
      </c>
      <c r="O29" s="52"/>
    </row>
    <row r="30" spans="1:16" x14ac:dyDescent="0.2">
      <c r="D30" s="53"/>
      <c r="E30" s="53"/>
      <c r="F30" s="53"/>
      <c r="H30" s="316" t="s">
        <v>180</v>
      </c>
      <c r="I30" s="316" t="s">
        <v>50</v>
      </c>
      <c r="J30" s="316" t="s">
        <v>21</v>
      </c>
      <c r="K30" s="316" t="s">
        <v>21</v>
      </c>
      <c r="L30" s="324">
        <v>7311.34</v>
      </c>
      <c r="M30" s="324">
        <v>5851.61</v>
      </c>
      <c r="N30" s="324">
        <v>4515.05</v>
      </c>
      <c r="O30" s="52"/>
    </row>
    <row r="31" spans="1:16" x14ac:dyDescent="0.2">
      <c r="D31" s="53"/>
      <c r="E31" s="53"/>
      <c r="F31" s="53"/>
      <c r="G31" s="58"/>
      <c r="H31" s="316" t="s">
        <v>180</v>
      </c>
      <c r="I31" s="316" t="s">
        <v>50</v>
      </c>
      <c r="J31" s="316" t="s">
        <v>52</v>
      </c>
      <c r="K31" s="316" t="s">
        <v>178</v>
      </c>
      <c r="L31" s="324">
        <v>212.39</v>
      </c>
      <c r="M31" s="324">
        <v>0</v>
      </c>
      <c r="N31" s="324">
        <v>220.95</v>
      </c>
      <c r="O31" s="52"/>
    </row>
    <row r="32" spans="1:16" x14ac:dyDescent="0.2">
      <c r="G32" s="58"/>
      <c r="H32" s="316" t="s">
        <v>180</v>
      </c>
      <c r="I32" s="316" t="s">
        <v>50</v>
      </c>
      <c r="J32" s="316" t="s">
        <v>55</v>
      </c>
      <c r="K32" s="316" t="s">
        <v>54</v>
      </c>
      <c r="L32" s="324">
        <v>0</v>
      </c>
      <c r="M32" s="324">
        <v>0</v>
      </c>
      <c r="N32" s="324">
        <v>98.84</v>
      </c>
      <c r="O32" s="52"/>
    </row>
    <row r="33" spans="7:16" x14ac:dyDescent="0.2">
      <c r="G33" s="58"/>
      <c r="H33" s="316" t="s">
        <v>180</v>
      </c>
      <c r="I33" s="316" t="s">
        <v>50</v>
      </c>
      <c r="J33" s="316" t="s">
        <v>55</v>
      </c>
      <c r="K33" s="316" t="s">
        <v>72</v>
      </c>
      <c r="L33" s="324">
        <v>5007.1099999999997</v>
      </c>
      <c r="M33" s="324">
        <v>0</v>
      </c>
      <c r="N33" s="324">
        <v>0</v>
      </c>
      <c r="O33" s="325">
        <f>SUM(L24:N33)</f>
        <v>378421.71</v>
      </c>
      <c r="P33" s="317" t="s">
        <v>84</v>
      </c>
    </row>
    <row r="34" spans="7:16" x14ac:dyDescent="0.2">
      <c r="G34" s="58"/>
      <c r="H34" s="113" t="s">
        <v>180</v>
      </c>
      <c r="I34" s="113" t="s">
        <v>21</v>
      </c>
      <c r="J34" s="113" t="s">
        <v>21</v>
      </c>
      <c r="K34" s="113" t="s">
        <v>21</v>
      </c>
      <c r="L34" s="314">
        <v>31837.38</v>
      </c>
      <c r="M34" s="314">
        <v>13546.77</v>
      </c>
      <c r="N34" s="314">
        <v>32416.41</v>
      </c>
    </row>
    <row r="35" spans="7:16" x14ac:dyDescent="0.2">
      <c r="G35" s="58"/>
      <c r="H35" s="113" t="s">
        <v>180</v>
      </c>
      <c r="I35" s="113" t="s">
        <v>21</v>
      </c>
      <c r="J35" s="113" t="s">
        <v>21</v>
      </c>
      <c r="K35" s="113" t="s">
        <v>21</v>
      </c>
      <c r="L35" s="314">
        <v>272.72000000000003</v>
      </c>
      <c r="M35" s="314">
        <v>0</v>
      </c>
      <c r="N35" s="314">
        <v>0</v>
      </c>
    </row>
    <row r="36" spans="7:16" x14ac:dyDescent="0.2">
      <c r="G36" s="58"/>
      <c r="H36" s="113" t="s">
        <v>180</v>
      </c>
      <c r="I36" s="113" t="s">
        <v>21</v>
      </c>
      <c r="J36" s="113" t="s">
        <v>21</v>
      </c>
      <c r="K36" s="113" t="s">
        <v>21</v>
      </c>
      <c r="L36" s="314">
        <v>8061.63</v>
      </c>
      <c r="M36" s="314">
        <v>0</v>
      </c>
      <c r="N36" s="314">
        <v>0</v>
      </c>
    </row>
    <row r="37" spans="7:16" x14ac:dyDescent="0.2">
      <c r="G37" s="58"/>
    </row>
    <row r="38" spans="7:16" x14ac:dyDescent="0.2">
      <c r="G38" s="58"/>
    </row>
    <row r="39" spans="7:16" x14ac:dyDescent="0.2">
      <c r="G39" s="58"/>
    </row>
    <row r="40" spans="7:16" x14ac:dyDescent="0.2">
      <c r="G40" s="58"/>
    </row>
    <row r="41" spans="7:16" x14ac:dyDescent="0.2">
      <c r="G41" s="58"/>
    </row>
    <row r="42" spans="7:16" x14ac:dyDescent="0.2">
      <c r="G42" s="58"/>
    </row>
    <row r="43" spans="7:16" x14ac:dyDescent="0.2">
      <c r="G43" s="58"/>
    </row>
    <row r="44" spans="7:16" x14ac:dyDescent="0.2">
      <c r="G44" s="58"/>
    </row>
    <row r="45" spans="7:16" x14ac:dyDescent="0.2">
      <c r="G45" s="58"/>
    </row>
    <row r="46" spans="7:16" x14ac:dyDescent="0.2">
      <c r="G46" s="58"/>
    </row>
    <row r="47" spans="7:16" x14ac:dyDescent="0.2">
      <c r="G47" s="58"/>
    </row>
    <row r="48" spans="7:16" x14ac:dyDescent="0.2">
      <c r="G48" s="58"/>
    </row>
    <row r="49" spans="7:7" x14ac:dyDescent="0.2">
      <c r="G49" s="58"/>
    </row>
    <row r="50" spans="7:7" x14ac:dyDescent="0.2">
      <c r="G50" s="58"/>
    </row>
    <row r="51" spans="7:7" x14ac:dyDescent="0.2">
      <c r="G51" s="58"/>
    </row>
    <row r="52" spans="7:7" x14ac:dyDescent="0.2">
      <c r="G52" s="58"/>
    </row>
    <row r="53" spans="7:7" x14ac:dyDescent="0.2">
      <c r="G53" s="58"/>
    </row>
    <row r="54" spans="7:7" x14ac:dyDescent="0.2">
      <c r="G54" s="58"/>
    </row>
    <row r="55" spans="7:7" x14ac:dyDescent="0.2">
      <c r="G55" s="58"/>
    </row>
    <row r="56" spans="7:7" x14ac:dyDescent="0.2">
      <c r="G56" s="58"/>
    </row>
    <row r="57" spans="7:7" x14ac:dyDescent="0.2">
      <c r="G57" s="58"/>
    </row>
    <row r="58" spans="7:7" x14ac:dyDescent="0.2">
      <c r="G58" s="58"/>
    </row>
    <row r="59" spans="7:7" x14ac:dyDescent="0.2">
      <c r="G59" s="58"/>
    </row>
    <row r="60" spans="7:7" x14ac:dyDescent="0.2">
      <c r="G60" s="58"/>
    </row>
    <row r="61" spans="7:7" x14ac:dyDescent="0.2">
      <c r="G61" s="58"/>
    </row>
    <row r="62" spans="7:7" x14ac:dyDescent="0.2">
      <c r="G62" s="58"/>
    </row>
    <row r="63" spans="7:7" x14ac:dyDescent="0.2">
      <c r="G63" s="58"/>
    </row>
    <row r="64" spans="7:7" x14ac:dyDescent="0.2">
      <c r="G64" s="58"/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P56"/>
  <sheetViews>
    <sheetView workbookViewId="0">
      <selection sqref="A1:F1"/>
    </sheetView>
  </sheetViews>
  <sheetFormatPr defaultRowHeight="12.75" x14ac:dyDescent="0.2"/>
  <cols>
    <col min="1" max="7" width="10.7109375" customWidth="1"/>
    <col min="9" max="9" width="21.85546875" bestFit="1" customWidth="1"/>
    <col min="10" max="10" width="12.28515625" bestFit="1" customWidth="1"/>
    <col min="11" max="11" width="36.7109375" bestFit="1" customWidth="1"/>
    <col min="12" max="14" width="10.7109375" customWidth="1"/>
    <col min="15" max="15" width="12.28515625" bestFit="1" customWidth="1"/>
    <col min="16" max="16" width="21.7109375" bestFit="1" customWidth="1"/>
  </cols>
  <sheetData>
    <row r="1" spans="1:16" ht="13.5" thickBot="1" x14ac:dyDescent="0.25">
      <c r="A1" s="516" t="s">
        <v>77</v>
      </c>
      <c r="B1" s="517"/>
      <c r="C1" s="517"/>
      <c r="D1" s="517"/>
      <c r="E1" s="517"/>
      <c r="F1" s="518"/>
      <c r="H1" s="516" t="s">
        <v>186</v>
      </c>
      <c r="I1" s="519"/>
      <c r="J1" s="519"/>
      <c r="K1" s="519"/>
      <c r="L1" s="519"/>
      <c r="M1" s="519"/>
      <c r="N1" s="520"/>
    </row>
    <row r="2" spans="1:16" x14ac:dyDescent="0.2">
      <c r="A2" s="504" t="s">
        <v>73</v>
      </c>
      <c r="B2" s="505"/>
      <c r="C2" s="505"/>
      <c r="D2" s="505"/>
      <c r="E2" s="505"/>
      <c r="F2" s="506"/>
      <c r="H2" s="521" t="s">
        <v>73</v>
      </c>
      <c r="I2" s="522"/>
      <c r="J2" s="522"/>
      <c r="K2" s="522"/>
      <c r="L2" s="522"/>
      <c r="M2" s="522"/>
      <c r="N2" s="523"/>
    </row>
    <row r="3" spans="1:16" x14ac:dyDescent="0.2">
      <c r="A3" s="504" t="s">
        <v>74</v>
      </c>
      <c r="B3" s="505"/>
      <c r="C3" s="505"/>
      <c r="D3" s="505"/>
      <c r="E3" s="505"/>
      <c r="F3" s="506"/>
      <c r="H3" s="504" t="s">
        <v>83</v>
      </c>
      <c r="I3" s="507"/>
      <c r="J3" s="507"/>
      <c r="K3" s="507"/>
      <c r="L3" s="507"/>
      <c r="M3" s="507"/>
      <c r="N3" s="508"/>
    </row>
    <row r="4" spans="1:16" x14ac:dyDescent="0.2">
      <c r="A4" s="504" t="s">
        <v>92</v>
      </c>
      <c r="B4" s="505"/>
      <c r="C4" s="505"/>
      <c r="D4" s="505"/>
      <c r="E4" s="505"/>
      <c r="F4" s="506"/>
      <c r="H4" s="504" t="s">
        <v>92</v>
      </c>
      <c r="I4" s="507"/>
      <c r="J4" s="507"/>
      <c r="K4" s="507"/>
      <c r="L4" s="507"/>
      <c r="M4" s="507"/>
      <c r="N4" s="508"/>
    </row>
    <row r="5" spans="1:16" ht="13.5" thickBot="1" x14ac:dyDescent="0.25">
      <c r="A5" s="509" t="s">
        <v>76</v>
      </c>
      <c r="B5" s="510"/>
      <c r="C5" s="510"/>
      <c r="D5" s="510"/>
      <c r="E5" s="510"/>
      <c r="F5" s="511"/>
      <c r="H5" s="509" t="s">
        <v>76</v>
      </c>
      <c r="I5" s="512"/>
      <c r="J5" s="512"/>
      <c r="K5" s="512"/>
      <c r="L5" s="512"/>
      <c r="M5" s="512"/>
      <c r="N5" s="513"/>
    </row>
    <row r="6" spans="1:16" x14ac:dyDescent="0.2">
      <c r="G6" s="211"/>
    </row>
    <row r="8" spans="1:16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  <c r="H8" s="280" t="s">
        <v>32</v>
      </c>
      <c r="I8" s="280" t="s">
        <v>42</v>
      </c>
      <c r="J8" s="280" t="s">
        <v>51</v>
      </c>
      <c r="K8" s="280" t="s">
        <v>57</v>
      </c>
      <c r="L8" s="280" t="s">
        <v>34</v>
      </c>
      <c r="M8" s="280" t="s">
        <v>35</v>
      </c>
      <c r="N8" s="280" t="s">
        <v>103</v>
      </c>
    </row>
    <row r="9" spans="1:16" x14ac:dyDescent="0.2">
      <c r="A9" s="113" t="s">
        <v>180</v>
      </c>
      <c r="B9" s="113" t="s">
        <v>38</v>
      </c>
      <c r="C9" s="113" t="s">
        <v>3</v>
      </c>
      <c r="D9" s="113">
        <v>0</v>
      </c>
      <c r="E9" s="113">
        <v>565</v>
      </c>
      <c r="F9" s="114">
        <v>9417</v>
      </c>
      <c r="H9" s="304" t="s">
        <v>180</v>
      </c>
      <c r="I9" s="304" t="s">
        <v>21</v>
      </c>
      <c r="J9" s="304" t="s">
        <v>52</v>
      </c>
      <c r="K9" s="304" t="s">
        <v>209</v>
      </c>
      <c r="L9" s="305">
        <v>2163</v>
      </c>
      <c r="M9" s="304">
        <v>804</v>
      </c>
      <c r="N9" s="305">
        <v>19243</v>
      </c>
    </row>
    <row r="10" spans="1:16" x14ac:dyDescent="0.2">
      <c r="A10" s="113" t="s">
        <v>180</v>
      </c>
      <c r="B10" s="113" t="s">
        <v>38</v>
      </c>
      <c r="C10" s="113" t="s">
        <v>323</v>
      </c>
      <c r="D10" s="114">
        <v>6085</v>
      </c>
      <c r="E10" s="114">
        <v>0</v>
      </c>
      <c r="F10" s="114">
        <v>0</v>
      </c>
      <c r="G10" s="53"/>
      <c r="H10" s="304" t="s">
        <v>180</v>
      </c>
      <c r="I10" s="304" t="s">
        <v>21</v>
      </c>
      <c r="J10" s="304" t="s">
        <v>52</v>
      </c>
      <c r="K10" s="304" t="s">
        <v>178</v>
      </c>
      <c r="L10" s="305">
        <v>39501</v>
      </c>
      <c r="M10" s="305">
        <v>4336</v>
      </c>
      <c r="N10" s="305">
        <v>62606</v>
      </c>
    </row>
    <row r="11" spans="1:16" x14ac:dyDescent="0.2">
      <c r="A11" s="113" t="s">
        <v>180</v>
      </c>
      <c r="B11" s="113" t="s">
        <v>38</v>
      </c>
      <c r="C11" s="113" t="s">
        <v>41</v>
      </c>
      <c r="D11" s="114">
        <v>149056</v>
      </c>
      <c r="E11" s="114">
        <v>50760</v>
      </c>
      <c r="F11" s="114">
        <v>509872</v>
      </c>
      <c r="G11" s="53"/>
      <c r="H11" s="304" t="s">
        <v>180</v>
      </c>
      <c r="I11" s="304" t="s">
        <v>21</v>
      </c>
      <c r="J11" s="304" t="s">
        <v>52</v>
      </c>
      <c r="K11" s="304" t="s">
        <v>332</v>
      </c>
      <c r="L11" s="304">
        <v>775</v>
      </c>
      <c r="M11" s="304">
        <v>688</v>
      </c>
      <c r="N11" s="305">
        <v>1088</v>
      </c>
    </row>
    <row r="12" spans="1:16" x14ac:dyDescent="0.2">
      <c r="A12" s="113" t="s">
        <v>180</v>
      </c>
      <c r="B12" s="113" t="s">
        <v>39</v>
      </c>
      <c r="C12" s="113" t="s">
        <v>41</v>
      </c>
      <c r="D12" s="114">
        <v>31012</v>
      </c>
      <c r="E12" s="114">
        <v>16863</v>
      </c>
      <c r="F12" s="114">
        <v>136605</v>
      </c>
      <c r="H12" s="304" t="s">
        <v>180</v>
      </c>
      <c r="I12" s="304" t="s">
        <v>21</v>
      </c>
      <c r="J12" s="304" t="s">
        <v>52</v>
      </c>
      <c r="K12" s="304" t="s">
        <v>210</v>
      </c>
      <c r="L12" s="305">
        <v>6313</v>
      </c>
      <c r="M12" s="305">
        <v>5359</v>
      </c>
      <c r="N12" s="305">
        <v>155957</v>
      </c>
    </row>
    <row r="13" spans="1:16" x14ac:dyDescent="0.2">
      <c r="H13" s="304" t="s">
        <v>180</v>
      </c>
      <c r="I13" s="304" t="s">
        <v>21</v>
      </c>
      <c r="J13" s="304" t="s">
        <v>52</v>
      </c>
      <c r="K13" s="304" t="s">
        <v>72</v>
      </c>
      <c r="L13" s="305">
        <v>5488</v>
      </c>
      <c r="M13" s="304">
        <v>80</v>
      </c>
      <c r="N13" s="304">
        <v>578</v>
      </c>
      <c r="O13" s="291">
        <f>SUM(L9:N13)</f>
        <v>304979</v>
      </c>
      <c r="P13" s="269" t="s">
        <v>52</v>
      </c>
    </row>
    <row r="14" spans="1:16" x14ac:dyDescent="0.2">
      <c r="H14" s="308" t="s">
        <v>180</v>
      </c>
      <c r="I14" s="308" t="s">
        <v>21</v>
      </c>
      <c r="J14" s="308" t="s">
        <v>52</v>
      </c>
      <c r="K14" s="308" t="s">
        <v>240</v>
      </c>
      <c r="L14" s="309">
        <v>4028</v>
      </c>
      <c r="M14" s="309">
        <v>1052</v>
      </c>
      <c r="N14" s="309">
        <v>74644</v>
      </c>
      <c r="O14" s="283">
        <f>SUM(L14:N14)</f>
        <v>79724</v>
      </c>
      <c r="P14" s="290" t="s">
        <v>254</v>
      </c>
    </row>
    <row r="15" spans="1:16" x14ac:dyDescent="0.2">
      <c r="H15" s="312" t="s">
        <v>180</v>
      </c>
      <c r="I15" s="312" t="s">
        <v>21</v>
      </c>
      <c r="J15" s="312" t="s">
        <v>55</v>
      </c>
      <c r="K15" s="312" t="s">
        <v>182</v>
      </c>
      <c r="L15" s="313">
        <v>2490</v>
      </c>
      <c r="M15" s="312">
        <v>0</v>
      </c>
      <c r="N15" s="313">
        <v>4951</v>
      </c>
    </row>
    <row r="16" spans="1:16" x14ac:dyDescent="0.2">
      <c r="A16" s="59" t="s">
        <v>79</v>
      </c>
      <c r="B16" s="204" t="s">
        <v>80</v>
      </c>
      <c r="D16" s="205" t="s">
        <v>184</v>
      </c>
      <c r="E16" s="206"/>
      <c r="F16" s="207" t="s">
        <v>185</v>
      </c>
      <c r="H16" s="312" t="s">
        <v>180</v>
      </c>
      <c r="I16" s="312" t="s">
        <v>21</v>
      </c>
      <c r="J16" s="312" t="s">
        <v>55</v>
      </c>
      <c r="K16" s="312" t="s">
        <v>54</v>
      </c>
      <c r="L16" s="313">
        <v>1114</v>
      </c>
      <c r="M16" s="312">
        <v>0</v>
      </c>
      <c r="N16" s="313">
        <v>1800</v>
      </c>
    </row>
    <row r="17" spans="1:16" x14ac:dyDescent="0.2">
      <c r="A17" s="58" t="s">
        <v>38</v>
      </c>
      <c r="B17" s="209">
        <f>SUM(D11:F11)</f>
        <v>709688</v>
      </c>
      <c r="D17" s="514" t="s">
        <v>81</v>
      </c>
      <c r="E17" s="515"/>
      <c r="F17" s="219">
        <f>O13/B21</f>
        <v>0.33505523298928297</v>
      </c>
      <c r="H17" s="312" t="s">
        <v>180</v>
      </c>
      <c r="I17" s="312" t="s">
        <v>21</v>
      </c>
      <c r="J17" s="312" t="s">
        <v>55</v>
      </c>
      <c r="K17" s="312" t="s">
        <v>66</v>
      </c>
      <c r="L17" s="313">
        <v>1426</v>
      </c>
      <c r="M17" s="312">
        <v>0</v>
      </c>
      <c r="N17" s="313">
        <v>4257</v>
      </c>
    </row>
    <row r="18" spans="1:16" x14ac:dyDescent="0.2">
      <c r="A18" s="58" t="s">
        <v>39</v>
      </c>
      <c r="B18" s="209">
        <f>SUM(D12:F12)</f>
        <v>184480</v>
      </c>
      <c r="D18" s="503" t="s">
        <v>253</v>
      </c>
      <c r="E18" s="505"/>
      <c r="F18" s="219">
        <f>O14/B21</f>
        <v>8.7586172801529277E-2</v>
      </c>
      <c r="H18" s="312" t="s">
        <v>180</v>
      </c>
      <c r="I18" s="312" t="s">
        <v>21</v>
      </c>
      <c r="J18" s="312" t="s">
        <v>55</v>
      </c>
      <c r="K18" s="312" t="s">
        <v>68</v>
      </c>
      <c r="L18" s="313">
        <v>1001</v>
      </c>
      <c r="M18" s="312">
        <v>288</v>
      </c>
      <c r="N18" s="313">
        <v>2912</v>
      </c>
    </row>
    <row r="19" spans="1:16" x14ac:dyDescent="0.2">
      <c r="A19" s="58" t="s">
        <v>2</v>
      </c>
      <c r="B19" s="218">
        <f>SUM(D10:F10)</f>
        <v>6085</v>
      </c>
      <c r="C19" s="58"/>
      <c r="D19" s="58" t="s">
        <v>78</v>
      </c>
      <c r="F19" s="219">
        <f>O20/B21</f>
        <v>5.7286305184924773E-2</v>
      </c>
      <c r="H19" s="312" t="s">
        <v>180</v>
      </c>
      <c r="I19" s="312" t="s">
        <v>21</v>
      </c>
      <c r="J19" s="312" t="s">
        <v>55</v>
      </c>
      <c r="K19" s="312" t="s">
        <v>183</v>
      </c>
      <c r="L19" s="313">
        <v>2336</v>
      </c>
      <c r="M19" s="312">
        <v>368</v>
      </c>
      <c r="N19" s="313">
        <v>10362</v>
      </c>
    </row>
    <row r="20" spans="1:16" x14ac:dyDescent="0.2">
      <c r="A20" s="58" t="s">
        <v>3</v>
      </c>
      <c r="B20" s="209">
        <f>SUM(D9:F9)</f>
        <v>9982</v>
      </c>
      <c r="D20" s="503" t="s">
        <v>42</v>
      </c>
      <c r="E20" s="503"/>
      <c r="F20" s="219">
        <f>O32/B21</f>
        <v>0.3896784896208122</v>
      </c>
      <c r="H20" s="312" t="s">
        <v>180</v>
      </c>
      <c r="I20" s="312" t="s">
        <v>21</v>
      </c>
      <c r="J20" s="312" t="s">
        <v>55</v>
      </c>
      <c r="K20" s="312" t="s">
        <v>72</v>
      </c>
      <c r="L20" s="313">
        <v>3036</v>
      </c>
      <c r="M20" s="313">
        <v>2727</v>
      </c>
      <c r="N20" s="313">
        <v>13076</v>
      </c>
      <c r="O20" s="276">
        <f>SUM(L15:N20)</f>
        <v>52144</v>
      </c>
      <c r="P20" s="289" t="s">
        <v>85</v>
      </c>
    </row>
    <row r="21" spans="1:16" ht="13.5" thickBot="1" x14ac:dyDescent="0.25">
      <c r="A21" s="4"/>
      <c r="B21" s="210">
        <f>SUM(B17:B20)</f>
        <v>910235</v>
      </c>
      <c r="D21" s="58"/>
      <c r="F21" s="208">
        <f>SUM(F17:F20)</f>
        <v>0.86960620059654925</v>
      </c>
      <c r="H21" s="310" t="s">
        <v>180</v>
      </c>
      <c r="I21" s="310" t="s">
        <v>43</v>
      </c>
      <c r="J21" s="310" t="s">
        <v>21</v>
      </c>
      <c r="K21" s="310" t="s">
        <v>21</v>
      </c>
      <c r="L21" s="311">
        <v>41433</v>
      </c>
      <c r="M21" s="311">
        <v>6940</v>
      </c>
      <c r="N21" s="311">
        <v>57837</v>
      </c>
    </row>
    <row r="22" spans="1:16" x14ac:dyDescent="0.2">
      <c r="D22" s="58"/>
      <c r="H22" s="310" t="s">
        <v>180</v>
      </c>
      <c r="I22" s="310" t="s">
        <v>43</v>
      </c>
      <c r="J22" s="310" t="s">
        <v>55</v>
      </c>
      <c r="K22" s="310" t="s">
        <v>182</v>
      </c>
      <c r="L22" s="310">
        <v>0</v>
      </c>
      <c r="M22" s="310">
        <v>0</v>
      </c>
      <c r="N22" s="310">
        <v>0</v>
      </c>
    </row>
    <row r="23" spans="1:16" x14ac:dyDescent="0.2">
      <c r="D23" s="58"/>
      <c r="H23" s="310" t="s">
        <v>180</v>
      </c>
      <c r="I23" s="310" t="s">
        <v>43</v>
      </c>
      <c r="J23" s="310" t="s">
        <v>55</v>
      </c>
      <c r="K23" s="310" t="s">
        <v>54</v>
      </c>
      <c r="L23" s="310">
        <v>0</v>
      </c>
      <c r="M23" s="310">
        <v>271</v>
      </c>
      <c r="N23" s="310">
        <v>779</v>
      </c>
    </row>
    <row r="24" spans="1:16" x14ac:dyDescent="0.2">
      <c r="D24" s="58"/>
      <c r="H24" s="310" t="s">
        <v>180</v>
      </c>
      <c r="I24" s="310" t="s">
        <v>43</v>
      </c>
      <c r="J24" s="310" t="s">
        <v>55</v>
      </c>
      <c r="K24" s="310" t="s">
        <v>68</v>
      </c>
      <c r="L24" s="310">
        <v>0</v>
      </c>
      <c r="M24" s="310">
        <v>0</v>
      </c>
      <c r="N24" s="310">
        <v>143</v>
      </c>
    </row>
    <row r="25" spans="1:16" x14ac:dyDescent="0.2">
      <c r="H25" s="310" t="s">
        <v>180</v>
      </c>
      <c r="I25" s="310" t="s">
        <v>43</v>
      </c>
      <c r="J25" s="310" t="s">
        <v>55</v>
      </c>
      <c r="K25" s="310" t="s">
        <v>72</v>
      </c>
      <c r="L25" s="310">
        <v>0</v>
      </c>
      <c r="M25" s="310">
        <v>0</v>
      </c>
      <c r="N25" s="310">
        <v>0</v>
      </c>
    </row>
    <row r="26" spans="1:16" x14ac:dyDescent="0.2">
      <c r="H26" s="310" t="s">
        <v>180</v>
      </c>
      <c r="I26" s="310" t="s">
        <v>45</v>
      </c>
      <c r="J26" s="310" t="s">
        <v>21</v>
      </c>
      <c r="K26" s="310" t="s">
        <v>21</v>
      </c>
      <c r="L26" s="311">
        <v>19556</v>
      </c>
      <c r="M26" s="311">
        <v>13994</v>
      </c>
      <c r="N26" s="311">
        <v>127203</v>
      </c>
    </row>
    <row r="27" spans="1:16" x14ac:dyDescent="0.2">
      <c r="H27" s="310" t="s">
        <v>180</v>
      </c>
      <c r="I27" s="310" t="s">
        <v>46</v>
      </c>
      <c r="J27" s="310" t="s">
        <v>21</v>
      </c>
      <c r="K27" s="310" t="s">
        <v>21</v>
      </c>
      <c r="L27" s="311">
        <v>8122</v>
      </c>
      <c r="M27" s="311">
        <v>11128</v>
      </c>
      <c r="N27" s="311">
        <v>47927</v>
      </c>
    </row>
    <row r="28" spans="1:16" x14ac:dyDescent="0.2">
      <c r="H28" s="310" t="s">
        <v>180</v>
      </c>
      <c r="I28" s="310" t="s">
        <v>46</v>
      </c>
      <c r="J28" s="310" t="s">
        <v>55</v>
      </c>
      <c r="K28" s="310" t="s">
        <v>89</v>
      </c>
      <c r="L28" s="310">
        <v>0</v>
      </c>
      <c r="M28" s="310">
        <v>0</v>
      </c>
      <c r="N28" s="311">
        <v>2418</v>
      </c>
    </row>
    <row r="29" spans="1:16" x14ac:dyDescent="0.2">
      <c r="H29" s="310" t="s">
        <v>180</v>
      </c>
      <c r="I29" s="310" t="s">
        <v>47</v>
      </c>
      <c r="J29" s="310" t="s">
        <v>21</v>
      </c>
      <c r="K29" s="310" t="s">
        <v>21</v>
      </c>
      <c r="L29" s="310">
        <v>0</v>
      </c>
      <c r="M29" s="310">
        <v>0</v>
      </c>
      <c r="N29" s="310">
        <v>0</v>
      </c>
    </row>
    <row r="30" spans="1:16" x14ac:dyDescent="0.2">
      <c r="D30" s="53"/>
      <c r="E30" s="53"/>
      <c r="F30" s="53"/>
      <c r="H30" s="310" t="s">
        <v>180</v>
      </c>
      <c r="I30" s="310" t="s">
        <v>50</v>
      </c>
      <c r="J30" s="310" t="s">
        <v>21</v>
      </c>
      <c r="K30" s="310" t="s">
        <v>21</v>
      </c>
      <c r="L30" s="311">
        <v>9758</v>
      </c>
      <c r="M30" s="311">
        <v>2209</v>
      </c>
      <c r="N30" s="311">
        <v>4980</v>
      </c>
    </row>
    <row r="31" spans="1:16" x14ac:dyDescent="0.2">
      <c r="D31" s="53"/>
      <c r="E31" s="53"/>
      <c r="F31" s="53"/>
      <c r="G31" s="58"/>
      <c r="H31" s="310" t="s">
        <v>180</v>
      </c>
      <c r="I31" s="310" t="s">
        <v>50</v>
      </c>
      <c r="J31" s="310" t="s">
        <v>52</v>
      </c>
      <c r="K31" s="310" t="s">
        <v>178</v>
      </c>
      <c r="L31" s="310">
        <v>0</v>
      </c>
      <c r="M31" s="310">
        <v>0</v>
      </c>
      <c r="N31" s="310">
        <v>1</v>
      </c>
    </row>
    <row r="32" spans="1:16" x14ac:dyDescent="0.2">
      <c r="G32" s="58"/>
      <c r="H32" s="310" t="s">
        <v>180</v>
      </c>
      <c r="I32" s="310" t="s">
        <v>50</v>
      </c>
      <c r="J32" s="310" t="s">
        <v>55</v>
      </c>
      <c r="K32" s="310" t="s">
        <v>72</v>
      </c>
      <c r="L32" s="310">
        <v>0</v>
      </c>
      <c r="M32" s="310">
        <v>0</v>
      </c>
      <c r="N32" s="310">
        <v>0</v>
      </c>
      <c r="O32" s="268">
        <f>SUM(L21:N32)</f>
        <v>354699</v>
      </c>
      <c r="P32" s="282" t="s">
        <v>84</v>
      </c>
    </row>
    <row r="33" spans="7:14" x14ac:dyDescent="0.2">
      <c r="G33" s="58"/>
      <c r="H33" s="306" t="s">
        <v>180</v>
      </c>
      <c r="I33" s="306" t="s">
        <v>21</v>
      </c>
      <c r="J33" s="306" t="s">
        <v>21</v>
      </c>
      <c r="K33" s="306" t="s">
        <v>21</v>
      </c>
      <c r="L33" s="307">
        <v>37608</v>
      </c>
      <c r="M33" s="307">
        <v>17943</v>
      </c>
      <c r="N33" s="307">
        <v>63132</v>
      </c>
    </row>
    <row r="34" spans="7:14" x14ac:dyDescent="0.2">
      <c r="G34" s="58"/>
      <c r="H34" s="306" t="s">
        <v>180</v>
      </c>
      <c r="I34" s="306" t="s">
        <v>21</v>
      </c>
      <c r="J34" s="306" t="s">
        <v>21</v>
      </c>
      <c r="K34" s="306" t="s">
        <v>21</v>
      </c>
      <c r="L34" s="306">
        <v>6</v>
      </c>
      <c r="M34" s="306">
        <v>0</v>
      </c>
      <c r="N34" s="306">
        <v>0</v>
      </c>
    </row>
    <row r="35" spans="7:14" x14ac:dyDescent="0.2">
      <c r="G35" s="58"/>
    </row>
    <row r="36" spans="7:14" x14ac:dyDescent="0.2">
      <c r="G36" s="58"/>
    </row>
    <row r="37" spans="7:14" x14ac:dyDescent="0.2">
      <c r="G37" s="58"/>
    </row>
    <row r="38" spans="7:14" x14ac:dyDescent="0.2">
      <c r="G38" s="58"/>
    </row>
    <row r="39" spans="7:14" x14ac:dyDescent="0.2">
      <c r="G39" s="58"/>
    </row>
    <row r="40" spans="7:14" x14ac:dyDescent="0.2">
      <c r="G40" s="58"/>
    </row>
    <row r="41" spans="7:14" x14ac:dyDescent="0.2">
      <c r="G41" s="58"/>
    </row>
    <row r="42" spans="7:14" x14ac:dyDescent="0.2">
      <c r="G42" s="58"/>
    </row>
    <row r="43" spans="7:14" x14ac:dyDescent="0.2">
      <c r="G43" s="58"/>
    </row>
    <row r="44" spans="7:14" x14ac:dyDescent="0.2">
      <c r="G44" s="58"/>
    </row>
    <row r="45" spans="7:14" x14ac:dyDescent="0.2">
      <c r="G45" s="58"/>
    </row>
    <row r="46" spans="7:14" x14ac:dyDescent="0.2">
      <c r="G46" s="58"/>
    </row>
    <row r="47" spans="7:14" x14ac:dyDescent="0.2">
      <c r="G47" s="58"/>
    </row>
    <row r="48" spans="7:14" x14ac:dyDescent="0.2">
      <c r="G48" s="58"/>
    </row>
    <row r="49" spans="7:7" x14ac:dyDescent="0.2">
      <c r="G49" s="58"/>
    </row>
    <row r="50" spans="7:7" x14ac:dyDescent="0.2">
      <c r="G50" s="58"/>
    </row>
    <row r="51" spans="7:7" x14ac:dyDescent="0.2">
      <c r="G51" s="58"/>
    </row>
    <row r="52" spans="7:7" x14ac:dyDescent="0.2">
      <c r="G52" s="58"/>
    </row>
    <row r="53" spans="7:7" x14ac:dyDescent="0.2">
      <c r="G53" s="58"/>
    </row>
    <row r="54" spans="7:7" x14ac:dyDescent="0.2">
      <c r="G54" s="58"/>
    </row>
    <row r="55" spans="7:7" x14ac:dyDescent="0.2">
      <c r="G55" s="58"/>
    </row>
    <row r="56" spans="7:7" x14ac:dyDescent="0.2">
      <c r="G56" s="58"/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P31"/>
  <sheetViews>
    <sheetView workbookViewId="0">
      <selection sqref="A1:F1"/>
    </sheetView>
  </sheetViews>
  <sheetFormatPr defaultRowHeight="12.75" x14ac:dyDescent="0.2"/>
  <cols>
    <col min="1" max="7" width="10.7109375" customWidth="1"/>
    <col min="9" max="9" width="21.85546875" bestFit="1" customWidth="1"/>
    <col min="10" max="10" width="12.28515625" bestFit="1" customWidth="1"/>
    <col min="11" max="11" width="36.7109375" bestFit="1" customWidth="1"/>
    <col min="12" max="14" width="10.7109375" customWidth="1"/>
    <col min="15" max="15" width="12.28515625" bestFit="1" customWidth="1"/>
    <col min="16" max="16" width="21.7109375" bestFit="1" customWidth="1"/>
  </cols>
  <sheetData>
    <row r="1" spans="1:16" ht="13.5" thickBot="1" x14ac:dyDescent="0.25">
      <c r="A1" s="516" t="s">
        <v>77</v>
      </c>
      <c r="B1" s="517"/>
      <c r="C1" s="517"/>
      <c r="D1" s="517"/>
      <c r="E1" s="517"/>
      <c r="F1" s="518"/>
      <c r="H1" s="516" t="s">
        <v>186</v>
      </c>
      <c r="I1" s="519"/>
      <c r="J1" s="519"/>
      <c r="K1" s="519"/>
      <c r="L1" s="519"/>
      <c r="M1" s="519"/>
      <c r="N1" s="520"/>
    </row>
    <row r="2" spans="1:16" x14ac:dyDescent="0.2">
      <c r="A2" s="504" t="s">
        <v>73</v>
      </c>
      <c r="B2" s="505"/>
      <c r="C2" s="505"/>
      <c r="D2" s="505"/>
      <c r="E2" s="505"/>
      <c r="F2" s="506"/>
      <c r="H2" s="521" t="s">
        <v>73</v>
      </c>
      <c r="I2" s="522"/>
      <c r="J2" s="522"/>
      <c r="K2" s="522"/>
      <c r="L2" s="522"/>
      <c r="M2" s="522"/>
      <c r="N2" s="523"/>
    </row>
    <row r="3" spans="1:16" x14ac:dyDescent="0.2">
      <c r="A3" s="504" t="s">
        <v>74</v>
      </c>
      <c r="B3" s="505"/>
      <c r="C3" s="505"/>
      <c r="D3" s="505"/>
      <c r="E3" s="505"/>
      <c r="F3" s="506"/>
      <c r="H3" s="504" t="s">
        <v>83</v>
      </c>
      <c r="I3" s="507"/>
      <c r="J3" s="507"/>
      <c r="K3" s="507"/>
      <c r="L3" s="507"/>
      <c r="M3" s="507"/>
      <c r="N3" s="508"/>
    </row>
    <row r="4" spans="1:16" x14ac:dyDescent="0.2">
      <c r="A4" s="504" t="s">
        <v>92</v>
      </c>
      <c r="B4" s="505"/>
      <c r="C4" s="505"/>
      <c r="D4" s="505"/>
      <c r="E4" s="505"/>
      <c r="F4" s="506"/>
      <c r="H4" s="504" t="s">
        <v>92</v>
      </c>
      <c r="I4" s="507"/>
      <c r="J4" s="507"/>
      <c r="K4" s="507"/>
      <c r="L4" s="507"/>
      <c r="M4" s="507"/>
      <c r="N4" s="508"/>
    </row>
    <row r="5" spans="1:16" ht="13.5" thickBot="1" x14ac:dyDescent="0.25">
      <c r="A5" s="509" t="s">
        <v>76</v>
      </c>
      <c r="B5" s="510"/>
      <c r="C5" s="510"/>
      <c r="D5" s="510"/>
      <c r="E5" s="510"/>
      <c r="F5" s="511"/>
      <c r="H5" s="509" t="s">
        <v>76</v>
      </c>
      <c r="I5" s="512"/>
      <c r="J5" s="512"/>
      <c r="K5" s="512"/>
      <c r="L5" s="512"/>
      <c r="M5" s="512"/>
      <c r="N5" s="513"/>
    </row>
    <row r="6" spans="1:16" x14ac:dyDescent="0.2">
      <c r="G6" s="211"/>
    </row>
    <row r="8" spans="1:16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  <c r="H8" s="280" t="s">
        <v>32</v>
      </c>
      <c r="I8" s="280" t="s">
        <v>42</v>
      </c>
      <c r="J8" s="280" t="s">
        <v>51</v>
      </c>
      <c r="K8" s="280" t="s">
        <v>57</v>
      </c>
      <c r="L8" s="280" t="s">
        <v>34</v>
      </c>
      <c r="M8" s="280" t="s">
        <v>35</v>
      </c>
      <c r="N8" s="280" t="s">
        <v>103</v>
      </c>
    </row>
    <row r="9" spans="1:16" x14ac:dyDescent="0.2">
      <c r="A9" s="113" t="s">
        <v>180</v>
      </c>
      <c r="B9" s="113" t="s">
        <v>38</v>
      </c>
      <c r="C9" s="113" t="s">
        <v>3</v>
      </c>
      <c r="D9" s="113">
        <v>622</v>
      </c>
      <c r="E9" s="113">
        <v>0</v>
      </c>
      <c r="F9" s="114">
        <v>9933</v>
      </c>
      <c r="H9" s="113" t="s">
        <v>180</v>
      </c>
      <c r="I9" s="113" t="s">
        <v>21</v>
      </c>
      <c r="J9" s="113" t="s">
        <v>21</v>
      </c>
      <c r="K9" s="113" t="s">
        <v>21</v>
      </c>
      <c r="L9" s="114">
        <v>13897</v>
      </c>
      <c r="M9" s="114">
        <v>11180</v>
      </c>
      <c r="N9" s="114">
        <v>62917</v>
      </c>
    </row>
    <row r="10" spans="1:16" x14ac:dyDescent="0.2">
      <c r="A10" s="113" t="s">
        <v>180</v>
      </c>
      <c r="B10" s="113" t="s">
        <v>38</v>
      </c>
      <c r="C10" s="113" t="s">
        <v>41</v>
      </c>
      <c r="D10" s="114">
        <v>45206</v>
      </c>
      <c r="E10" s="114">
        <v>59251</v>
      </c>
      <c r="F10" s="114">
        <v>524228</v>
      </c>
      <c r="G10" s="288"/>
      <c r="H10" s="256" t="s">
        <v>180</v>
      </c>
      <c r="I10" s="256" t="s">
        <v>21</v>
      </c>
      <c r="J10" s="256" t="s">
        <v>52</v>
      </c>
      <c r="K10" s="256" t="s">
        <v>209</v>
      </c>
      <c r="L10" s="257">
        <v>1206</v>
      </c>
      <c r="M10" s="256">
        <v>639</v>
      </c>
      <c r="N10" s="257">
        <v>20799</v>
      </c>
    </row>
    <row r="11" spans="1:16" x14ac:dyDescent="0.2">
      <c r="A11" s="113" t="s">
        <v>180</v>
      </c>
      <c r="B11" s="113" t="s">
        <v>39</v>
      </c>
      <c r="C11" s="113" t="s">
        <v>41</v>
      </c>
      <c r="D11" s="114">
        <v>14504</v>
      </c>
      <c r="E11" s="114">
        <v>17262</v>
      </c>
      <c r="F11" s="114">
        <v>139496</v>
      </c>
      <c r="G11" s="288"/>
      <c r="H11" s="256" t="s">
        <v>180</v>
      </c>
      <c r="I11" s="256" t="s">
        <v>21</v>
      </c>
      <c r="J11" s="256" t="s">
        <v>52</v>
      </c>
      <c r="K11" s="256" t="s">
        <v>178</v>
      </c>
      <c r="L11" s="257">
        <v>2744</v>
      </c>
      <c r="M11" s="257">
        <v>10777</v>
      </c>
      <c r="N11" s="257">
        <v>59715</v>
      </c>
    </row>
    <row r="12" spans="1:16" x14ac:dyDescent="0.2">
      <c r="H12" s="256" t="s">
        <v>180</v>
      </c>
      <c r="I12" s="256" t="s">
        <v>21</v>
      </c>
      <c r="J12" s="256" t="s">
        <v>52</v>
      </c>
      <c r="K12" s="256" t="s">
        <v>210</v>
      </c>
      <c r="L12" s="256">
        <v>964</v>
      </c>
      <c r="M12" s="257">
        <v>1396</v>
      </c>
      <c r="N12" s="257">
        <v>142132</v>
      </c>
    </row>
    <row r="13" spans="1:16" x14ac:dyDescent="0.2">
      <c r="H13" s="256" t="s">
        <v>180</v>
      </c>
      <c r="I13" s="256" t="s">
        <v>21</v>
      </c>
      <c r="J13" s="256" t="s">
        <v>52</v>
      </c>
      <c r="K13" s="256" t="s">
        <v>72</v>
      </c>
      <c r="L13" s="256">
        <v>157</v>
      </c>
      <c r="M13" s="256">
        <v>606</v>
      </c>
      <c r="N13" s="257">
        <v>23813</v>
      </c>
      <c r="O13" s="268">
        <f>SUM(L10:N13)</f>
        <v>264948</v>
      </c>
      <c r="P13" s="282" t="s">
        <v>52</v>
      </c>
    </row>
    <row r="14" spans="1:16" x14ac:dyDescent="0.2">
      <c r="H14" s="273" t="s">
        <v>180</v>
      </c>
      <c r="I14" s="273" t="s">
        <v>21</v>
      </c>
      <c r="J14" s="273" t="s">
        <v>52</v>
      </c>
      <c r="K14" s="273" t="s">
        <v>240</v>
      </c>
      <c r="L14" s="274">
        <v>1548</v>
      </c>
      <c r="M14" s="274">
        <v>5751</v>
      </c>
      <c r="N14" s="274">
        <v>62025</v>
      </c>
      <c r="O14" s="276">
        <f>SUM(L14:N14)</f>
        <v>69324</v>
      </c>
      <c r="P14" s="289" t="s">
        <v>254</v>
      </c>
    </row>
    <row r="15" spans="1:16" x14ac:dyDescent="0.2">
      <c r="H15" s="258" t="s">
        <v>180</v>
      </c>
      <c r="I15" s="258" t="s">
        <v>21</v>
      </c>
      <c r="J15" s="258" t="s">
        <v>55</v>
      </c>
      <c r="K15" s="258" t="s">
        <v>182</v>
      </c>
      <c r="L15" s="258">
        <v>408</v>
      </c>
      <c r="M15" s="258">
        <v>619</v>
      </c>
      <c r="N15" s="259">
        <v>5034</v>
      </c>
    </row>
    <row r="16" spans="1:16" x14ac:dyDescent="0.2">
      <c r="A16" s="59" t="s">
        <v>79</v>
      </c>
      <c r="B16" s="204" t="s">
        <v>80</v>
      </c>
      <c r="D16" s="205" t="s">
        <v>184</v>
      </c>
      <c r="E16" s="206"/>
      <c r="F16" s="207" t="s">
        <v>185</v>
      </c>
      <c r="H16" s="258" t="s">
        <v>180</v>
      </c>
      <c r="I16" s="258" t="s">
        <v>21</v>
      </c>
      <c r="J16" s="258" t="s">
        <v>55</v>
      </c>
      <c r="K16" s="258" t="s">
        <v>89</v>
      </c>
      <c r="L16" s="258">
        <v>0</v>
      </c>
      <c r="M16" s="258">
        <v>0</v>
      </c>
      <c r="N16" s="259">
        <v>2445</v>
      </c>
    </row>
    <row r="17" spans="1:16" x14ac:dyDescent="0.2">
      <c r="A17" s="58" t="s">
        <v>38</v>
      </c>
      <c r="B17" s="209">
        <f>SUM(D10:F10)</f>
        <v>628685</v>
      </c>
      <c r="D17" s="514" t="s">
        <v>81</v>
      </c>
      <c r="E17" s="515"/>
      <c r="F17" s="98">
        <f>O13/B21</f>
        <v>0.32001552222881197</v>
      </c>
      <c r="H17" s="258" t="s">
        <v>180</v>
      </c>
      <c r="I17" s="258" t="s">
        <v>21</v>
      </c>
      <c r="J17" s="258" t="s">
        <v>55</v>
      </c>
      <c r="K17" s="258" t="s">
        <v>54</v>
      </c>
      <c r="L17" s="258">
        <v>274</v>
      </c>
      <c r="M17" s="258">
        <v>65</v>
      </c>
      <c r="N17" s="259">
        <v>4835</v>
      </c>
    </row>
    <row r="18" spans="1:16" x14ac:dyDescent="0.2">
      <c r="A18" s="58" t="s">
        <v>39</v>
      </c>
      <c r="B18" s="209">
        <f>SUM(D11:F11)</f>
        <v>171262</v>
      </c>
      <c r="D18" s="503" t="s">
        <v>253</v>
      </c>
      <c r="E18" s="505"/>
      <c r="F18" s="98">
        <f>O14/B21</f>
        <v>8.3732491141620846E-2</v>
      </c>
      <c r="H18" s="258" t="s">
        <v>180</v>
      </c>
      <c r="I18" s="258" t="s">
        <v>21</v>
      </c>
      <c r="J18" s="258" t="s">
        <v>55</v>
      </c>
      <c r="K18" s="258" t="s">
        <v>66</v>
      </c>
      <c r="L18" s="258">
        <v>0</v>
      </c>
      <c r="M18" s="258">
        <v>288</v>
      </c>
      <c r="N18" s="259">
        <v>16072</v>
      </c>
    </row>
    <row r="19" spans="1:16" x14ac:dyDescent="0.2">
      <c r="A19" s="58" t="s">
        <v>2</v>
      </c>
      <c r="B19" s="218">
        <f>'Sundry Debtors'!C347</f>
        <v>17420.340000000015</v>
      </c>
      <c r="C19" s="58"/>
      <c r="D19" s="58" t="s">
        <v>78</v>
      </c>
      <c r="F19" s="64">
        <f>O22/B21</f>
        <v>0.10438418656513122</v>
      </c>
      <c r="H19" s="258" t="s">
        <v>180</v>
      </c>
      <c r="I19" s="258" t="s">
        <v>21</v>
      </c>
      <c r="J19" s="258" t="s">
        <v>55</v>
      </c>
      <c r="K19" s="258" t="s">
        <v>67</v>
      </c>
      <c r="L19" s="258">
        <v>0</v>
      </c>
      <c r="M19" s="258">
        <v>0</v>
      </c>
      <c r="N19" s="258">
        <v>378</v>
      </c>
    </row>
    <row r="20" spans="1:16" x14ac:dyDescent="0.2">
      <c r="A20" s="58" t="s">
        <v>3</v>
      </c>
      <c r="B20" s="209">
        <f>SUM(D9:F9)</f>
        <v>10555</v>
      </c>
      <c r="D20" s="503" t="s">
        <v>42</v>
      </c>
      <c r="E20" s="503"/>
      <c r="F20" s="219">
        <f>O28/B21</f>
        <v>0.36454264538869674</v>
      </c>
      <c r="H20" s="258" t="s">
        <v>180</v>
      </c>
      <c r="I20" s="258" t="s">
        <v>21</v>
      </c>
      <c r="J20" s="258" t="s">
        <v>55</v>
      </c>
      <c r="K20" s="258" t="s">
        <v>68</v>
      </c>
      <c r="L20" s="259">
        <v>1850</v>
      </c>
      <c r="M20" s="258">
        <v>0</v>
      </c>
      <c r="N20" s="259">
        <v>5178</v>
      </c>
    </row>
    <row r="21" spans="1:16" ht="13.5" thickBot="1" x14ac:dyDescent="0.25">
      <c r="A21" s="4"/>
      <c r="B21" s="210">
        <f>SUM(B17:B20)</f>
        <v>827922.34</v>
      </c>
      <c r="D21" s="58"/>
      <c r="F21" s="208">
        <f>SUM(F17:F20)</f>
        <v>0.87267484532426076</v>
      </c>
      <c r="H21" s="258" t="s">
        <v>180</v>
      </c>
      <c r="I21" s="258" t="s">
        <v>21</v>
      </c>
      <c r="J21" s="258" t="s">
        <v>55</v>
      </c>
      <c r="K21" s="258" t="s">
        <v>183</v>
      </c>
      <c r="L21" s="258">
        <v>811</v>
      </c>
      <c r="M21" s="259">
        <v>2128</v>
      </c>
      <c r="N21" s="259">
        <v>10651</v>
      </c>
    </row>
    <row r="22" spans="1:16" x14ac:dyDescent="0.2">
      <c r="D22" s="58"/>
      <c r="H22" s="258" t="s">
        <v>180</v>
      </c>
      <c r="I22" s="258" t="s">
        <v>21</v>
      </c>
      <c r="J22" s="258" t="s">
        <v>55</v>
      </c>
      <c r="K22" s="258" t="s">
        <v>72</v>
      </c>
      <c r="L22" s="259">
        <v>2217</v>
      </c>
      <c r="M22" s="259">
        <v>8231</v>
      </c>
      <c r="N22" s="259">
        <v>24938</v>
      </c>
      <c r="O22" s="290">
        <f>SUM(L15:N22)</f>
        <v>86422</v>
      </c>
      <c r="P22" s="290" t="s">
        <v>85</v>
      </c>
    </row>
    <row r="23" spans="1:16" x14ac:dyDescent="0.2">
      <c r="D23" s="58"/>
      <c r="H23" s="260" t="s">
        <v>180</v>
      </c>
      <c r="I23" s="260" t="s">
        <v>43</v>
      </c>
      <c r="J23" s="260" t="s">
        <v>21</v>
      </c>
      <c r="K23" s="260" t="s">
        <v>21</v>
      </c>
      <c r="L23" s="261">
        <v>9262</v>
      </c>
      <c r="M23" s="261">
        <v>11114</v>
      </c>
      <c r="N23" s="261">
        <v>60861</v>
      </c>
    </row>
    <row r="24" spans="1:16" x14ac:dyDescent="0.2">
      <c r="D24" s="58"/>
      <c r="H24" s="260" t="s">
        <v>180</v>
      </c>
      <c r="I24" s="260" t="s">
        <v>45</v>
      </c>
      <c r="J24" s="260" t="s">
        <v>21</v>
      </c>
      <c r="K24" s="260" t="s">
        <v>21</v>
      </c>
      <c r="L24" s="261">
        <v>10367</v>
      </c>
      <c r="M24" s="261">
        <v>16857</v>
      </c>
      <c r="N24" s="261">
        <v>122117</v>
      </c>
    </row>
    <row r="25" spans="1:16" x14ac:dyDescent="0.2">
      <c r="H25" s="260" t="s">
        <v>180</v>
      </c>
      <c r="I25" s="260" t="s">
        <v>46</v>
      </c>
      <c r="J25" s="260" t="s">
        <v>21</v>
      </c>
      <c r="K25" s="260" t="s">
        <v>21</v>
      </c>
      <c r="L25" s="261">
        <v>10471</v>
      </c>
      <c r="M25" s="261">
        <v>5516</v>
      </c>
      <c r="N25" s="261">
        <v>40738</v>
      </c>
    </row>
    <row r="26" spans="1:16" x14ac:dyDescent="0.2">
      <c r="H26" s="260" t="s">
        <v>180</v>
      </c>
      <c r="I26" s="260" t="s">
        <v>47</v>
      </c>
      <c r="J26" s="260" t="s">
        <v>21</v>
      </c>
      <c r="K26" s="260" t="s">
        <v>21</v>
      </c>
      <c r="L26" s="260">
        <v>0</v>
      </c>
      <c r="M26" s="260">
        <v>0</v>
      </c>
      <c r="N26" s="260">
        <v>0</v>
      </c>
    </row>
    <row r="27" spans="1:16" x14ac:dyDescent="0.2">
      <c r="H27" s="260" t="s">
        <v>180</v>
      </c>
      <c r="I27" s="260" t="s">
        <v>50</v>
      </c>
      <c r="J27" s="260" t="s">
        <v>21</v>
      </c>
      <c r="K27" s="260" t="s">
        <v>21</v>
      </c>
      <c r="L27" s="261">
        <v>4157</v>
      </c>
      <c r="M27" s="261">
        <v>1345</v>
      </c>
      <c r="N27" s="261">
        <v>9008</v>
      </c>
    </row>
    <row r="28" spans="1:16" x14ac:dyDescent="0.2">
      <c r="H28" s="260" t="s">
        <v>180</v>
      </c>
      <c r="I28" s="260" t="s">
        <v>50</v>
      </c>
      <c r="J28" s="260" t="s">
        <v>55</v>
      </c>
      <c r="K28" s="260" t="s">
        <v>72</v>
      </c>
      <c r="L28" s="260">
        <v>0</v>
      </c>
      <c r="M28" s="260">
        <v>0</v>
      </c>
      <c r="N28" s="260">
        <v>0</v>
      </c>
      <c r="O28" s="291">
        <f>SUM(L23:N28)</f>
        <v>301813</v>
      </c>
      <c r="P28" s="269" t="s">
        <v>84</v>
      </c>
    </row>
    <row r="31" spans="1:16" x14ac:dyDescent="0.2">
      <c r="G31" s="4"/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D347"/>
  <sheetViews>
    <sheetView workbookViewId="0"/>
  </sheetViews>
  <sheetFormatPr defaultColWidth="9.140625" defaultRowHeight="12.75" x14ac:dyDescent="0.2"/>
  <cols>
    <col min="1" max="1" width="5.5703125" style="222" bestFit="1" customWidth="1"/>
    <col min="2" max="2" width="36.5703125" style="222" bestFit="1" customWidth="1"/>
    <col min="3" max="3" width="11.5703125" style="222" bestFit="1" customWidth="1"/>
    <col min="4" max="16384" width="9.140625" style="222"/>
  </cols>
  <sheetData>
    <row r="1" spans="2:3" x14ac:dyDescent="0.2">
      <c r="B1" s="220" t="s">
        <v>134</v>
      </c>
      <c r="C1" s="221">
        <v>40663</v>
      </c>
    </row>
    <row r="2" spans="2:3" s="224" customFormat="1" x14ac:dyDescent="0.2">
      <c r="B2" s="223" t="s">
        <v>120</v>
      </c>
      <c r="C2" s="223">
        <v>5.07</v>
      </c>
    </row>
    <row r="3" spans="2:3" s="224" customFormat="1" x14ac:dyDescent="0.2">
      <c r="B3" s="223" t="s">
        <v>121</v>
      </c>
      <c r="C3" s="223">
        <v>953.03</v>
      </c>
    </row>
    <row r="4" spans="2:3" s="224" customFormat="1" x14ac:dyDescent="0.2">
      <c r="B4" s="223" t="s">
        <v>122</v>
      </c>
      <c r="C4" s="223">
        <v>687.37</v>
      </c>
    </row>
    <row r="5" spans="2:3" s="224" customFormat="1" x14ac:dyDescent="0.2">
      <c r="B5" s="223" t="s">
        <v>123</v>
      </c>
      <c r="C5" s="223">
        <v>203.44</v>
      </c>
    </row>
    <row r="6" spans="2:3" s="224" customFormat="1" x14ac:dyDescent="0.2">
      <c r="B6" s="223" t="s">
        <v>124</v>
      </c>
      <c r="C6" s="223">
        <v>24.35</v>
      </c>
    </row>
    <row r="7" spans="2:3" s="224" customFormat="1" x14ac:dyDescent="0.2">
      <c r="B7" s="223" t="s">
        <v>125</v>
      </c>
      <c r="C7" s="223">
        <v>93.2</v>
      </c>
    </row>
    <row r="8" spans="2:3" s="224" customFormat="1" x14ac:dyDescent="0.2">
      <c r="B8" s="223" t="s">
        <v>126</v>
      </c>
      <c r="C8" s="223">
        <v>14930.77</v>
      </c>
    </row>
    <row r="9" spans="2:3" s="224" customFormat="1" x14ac:dyDescent="0.2">
      <c r="B9" s="223" t="s">
        <v>127</v>
      </c>
      <c r="C9" s="223">
        <v>29.71</v>
      </c>
    </row>
    <row r="10" spans="2:3" s="224" customFormat="1" x14ac:dyDescent="0.2">
      <c r="B10" s="223" t="s">
        <v>128</v>
      </c>
      <c r="C10" s="223">
        <v>854.18</v>
      </c>
    </row>
    <row r="11" spans="2:3" s="224" customFormat="1" x14ac:dyDescent="0.2">
      <c r="B11" s="223" t="s">
        <v>129</v>
      </c>
      <c r="C11" s="223">
        <v>93.2</v>
      </c>
    </row>
    <row r="12" spans="2:3" s="224" customFormat="1" x14ac:dyDescent="0.2">
      <c r="B12" s="223" t="s">
        <v>130</v>
      </c>
      <c r="C12" s="223">
        <v>330.7</v>
      </c>
    </row>
    <row r="13" spans="2:3" s="224" customFormat="1" x14ac:dyDescent="0.2">
      <c r="B13" s="223" t="s">
        <v>131</v>
      </c>
      <c r="C13" s="223">
        <v>437.1</v>
      </c>
    </row>
    <row r="14" spans="2:3" s="224" customFormat="1" x14ac:dyDescent="0.2">
      <c r="B14" s="223" t="s">
        <v>132</v>
      </c>
      <c r="C14" s="223">
        <v>228.22</v>
      </c>
    </row>
    <row r="15" spans="2:3" s="224" customFormat="1" x14ac:dyDescent="0.2">
      <c r="B15" s="223" t="s">
        <v>133</v>
      </c>
      <c r="C15" s="223">
        <v>6027.99</v>
      </c>
    </row>
    <row r="16" spans="2:3" ht="13.5" thickBot="1" x14ac:dyDescent="0.25">
      <c r="B16" s="224"/>
      <c r="C16" s="225">
        <f>SUM(C2:C15)</f>
        <v>24898.33</v>
      </c>
    </row>
    <row r="18" spans="1:3" x14ac:dyDescent="0.2">
      <c r="A18" s="220" t="s">
        <v>171</v>
      </c>
      <c r="B18" s="220" t="s">
        <v>134</v>
      </c>
      <c r="C18" s="221">
        <v>40694</v>
      </c>
    </row>
    <row r="19" spans="1:3" x14ac:dyDescent="0.2">
      <c r="A19" s="222" t="s">
        <v>136</v>
      </c>
      <c r="B19" s="222" t="s">
        <v>132</v>
      </c>
      <c r="C19" s="226">
        <v>3.95</v>
      </c>
    </row>
    <row r="20" spans="1:3" x14ac:dyDescent="0.2">
      <c r="A20" s="222" t="s">
        <v>137</v>
      </c>
      <c r="B20" s="222" t="s">
        <v>131</v>
      </c>
      <c r="C20" s="226">
        <v>437.1</v>
      </c>
    </row>
    <row r="21" spans="1:3" x14ac:dyDescent="0.2">
      <c r="A21" s="222" t="s">
        <v>138</v>
      </c>
      <c r="B21" s="222" t="s">
        <v>125</v>
      </c>
      <c r="C21" s="226">
        <v>93.7</v>
      </c>
    </row>
    <row r="22" spans="1:3" x14ac:dyDescent="0.2">
      <c r="A22" s="222" t="s">
        <v>139</v>
      </c>
      <c r="B22" s="222" t="s">
        <v>133</v>
      </c>
      <c r="C22" s="226">
        <v>12619.01</v>
      </c>
    </row>
    <row r="23" spans="1:3" x14ac:dyDescent="0.2">
      <c r="A23" s="222" t="s">
        <v>140</v>
      </c>
      <c r="B23" s="222" t="s">
        <v>141</v>
      </c>
      <c r="C23" s="226">
        <v>785.4</v>
      </c>
    </row>
    <row r="24" spans="1:3" x14ac:dyDescent="0.2">
      <c r="A24" s="222" t="s">
        <v>142</v>
      </c>
      <c r="B24" s="222" t="s">
        <v>121</v>
      </c>
      <c r="C24" s="226">
        <v>1747.31</v>
      </c>
    </row>
    <row r="25" spans="1:3" x14ac:dyDescent="0.2">
      <c r="A25" s="222" t="s">
        <v>143</v>
      </c>
      <c r="B25" s="222" t="s">
        <v>144</v>
      </c>
      <c r="C25" s="226">
        <v>28.05</v>
      </c>
    </row>
    <row r="26" spans="1:3" x14ac:dyDescent="0.2">
      <c r="A26" s="222" t="s">
        <v>145</v>
      </c>
      <c r="B26" s="222" t="s">
        <v>146</v>
      </c>
      <c r="C26" s="226">
        <v>32371.84</v>
      </c>
    </row>
    <row r="27" spans="1:3" x14ac:dyDescent="0.2">
      <c r="A27" s="222" t="s">
        <v>147</v>
      </c>
      <c r="B27" s="222" t="s">
        <v>122</v>
      </c>
      <c r="C27" s="226">
        <v>693.59</v>
      </c>
    </row>
    <row r="28" spans="1:3" x14ac:dyDescent="0.2">
      <c r="A28" s="222" t="s">
        <v>148</v>
      </c>
      <c r="B28" s="222" t="s">
        <v>149</v>
      </c>
      <c r="C28" s="226">
        <v>51.43</v>
      </c>
    </row>
    <row r="29" spans="1:3" x14ac:dyDescent="0.2">
      <c r="A29" s="222" t="s">
        <v>150</v>
      </c>
      <c r="B29" s="222" t="s">
        <v>151</v>
      </c>
      <c r="C29" s="226">
        <v>35.22</v>
      </c>
    </row>
    <row r="30" spans="1:3" x14ac:dyDescent="0.2">
      <c r="A30" s="222" t="s">
        <v>152</v>
      </c>
      <c r="B30" s="222" t="s">
        <v>153</v>
      </c>
      <c r="C30" s="226">
        <v>0.3</v>
      </c>
    </row>
    <row r="31" spans="1:3" x14ac:dyDescent="0.2">
      <c r="A31" s="222" t="s">
        <v>154</v>
      </c>
      <c r="B31" s="222" t="s">
        <v>155</v>
      </c>
      <c r="C31" s="226">
        <v>21.85</v>
      </c>
    </row>
    <row r="32" spans="1:3" x14ac:dyDescent="0.2">
      <c r="A32" s="222" t="s">
        <v>156</v>
      </c>
      <c r="B32" s="222" t="s">
        <v>124</v>
      </c>
      <c r="C32" s="226">
        <v>24.35</v>
      </c>
    </row>
    <row r="33" spans="1:3" x14ac:dyDescent="0.2">
      <c r="A33" s="222" t="s">
        <v>157</v>
      </c>
      <c r="B33" s="222" t="s">
        <v>130</v>
      </c>
      <c r="C33" s="226">
        <v>334.47</v>
      </c>
    </row>
    <row r="34" spans="1:3" x14ac:dyDescent="0.2">
      <c r="A34" s="222" t="s">
        <v>158</v>
      </c>
      <c r="B34" s="222" t="s">
        <v>159</v>
      </c>
      <c r="C34" s="226">
        <v>1100.9100000000001</v>
      </c>
    </row>
    <row r="35" spans="1:3" x14ac:dyDescent="0.2">
      <c r="A35" s="222" t="s">
        <v>160</v>
      </c>
      <c r="B35" s="222" t="s">
        <v>161</v>
      </c>
      <c r="C35" s="226">
        <v>42.42</v>
      </c>
    </row>
    <row r="36" spans="1:3" x14ac:dyDescent="0.2">
      <c r="A36" s="222" t="s">
        <v>162</v>
      </c>
      <c r="B36" s="222" t="s">
        <v>126</v>
      </c>
      <c r="C36" s="226">
        <v>15058.4</v>
      </c>
    </row>
    <row r="37" spans="1:3" x14ac:dyDescent="0.2">
      <c r="A37" s="222" t="s">
        <v>163</v>
      </c>
      <c r="B37" s="222" t="s">
        <v>123</v>
      </c>
      <c r="C37" s="226">
        <v>203.44</v>
      </c>
    </row>
    <row r="38" spans="1:3" x14ac:dyDescent="0.2">
      <c r="A38" s="222" t="s">
        <v>164</v>
      </c>
      <c r="B38" s="222" t="s">
        <v>165</v>
      </c>
      <c r="C38" s="226">
        <v>60.48</v>
      </c>
    </row>
    <row r="39" spans="1:3" x14ac:dyDescent="0.2">
      <c r="A39" s="222" t="s">
        <v>166</v>
      </c>
      <c r="B39" s="222" t="s">
        <v>127</v>
      </c>
      <c r="C39" s="226">
        <v>60.7</v>
      </c>
    </row>
    <row r="40" spans="1:3" x14ac:dyDescent="0.2">
      <c r="A40" s="222" t="s">
        <v>167</v>
      </c>
      <c r="B40" s="222" t="s">
        <v>168</v>
      </c>
      <c r="C40" s="226">
        <v>72.3</v>
      </c>
    </row>
    <row r="41" spans="1:3" x14ac:dyDescent="0.2">
      <c r="A41" s="222" t="s">
        <v>169</v>
      </c>
      <c r="B41" s="222" t="s">
        <v>170</v>
      </c>
      <c r="C41" s="226">
        <v>38.22</v>
      </c>
    </row>
    <row r="42" spans="1:3" ht="13.5" thickBot="1" x14ac:dyDescent="0.25">
      <c r="C42" s="225">
        <f>SUM(C19:C41)</f>
        <v>65884.44</v>
      </c>
    </row>
    <row r="44" spans="1:3" x14ac:dyDescent="0.2">
      <c r="A44" s="220" t="s">
        <v>171</v>
      </c>
      <c r="B44" s="220" t="s">
        <v>134</v>
      </c>
      <c r="C44" s="221">
        <v>40724</v>
      </c>
    </row>
    <row r="45" spans="1:3" s="224" customFormat="1" x14ac:dyDescent="0.2">
      <c r="A45" s="222" t="s">
        <v>137</v>
      </c>
      <c r="B45" s="222" t="s">
        <v>131</v>
      </c>
      <c r="C45" s="223">
        <v>437.1</v>
      </c>
    </row>
    <row r="46" spans="1:3" s="224" customFormat="1" x14ac:dyDescent="0.2">
      <c r="A46" s="224" t="s">
        <v>174</v>
      </c>
      <c r="B46" s="224" t="s">
        <v>175</v>
      </c>
      <c r="C46" s="223">
        <v>490.4</v>
      </c>
    </row>
    <row r="47" spans="1:3" s="224" customFormat="1" x14ac:dyDescent="0.2">
      <c r="A47" s="224" t="s">
        <v>138</v>
      </c>
      <c r="B47" s="224" t="s">
        <v>125</v>
      </c>
      <c r="C47" s="223">
        <v>94.67</v>
      </c>
    </row>
    <row r="48" spans="1:3" s="224" customFormat="1" x14ac:dyDescent="0.2">
      <c r="A48" s="224" t="s">
        <v>139</v>
      </c>
      <c r="B48" s="224" t="s">
        <v>133</v>
      </c>
      <c r="C48" s="223">
        <v>12692.73</v>
      </c>
    </row>
    <row r="49" spans="1:3" s="224" customFormat="1" x14ac:dyDescent="0.2">
      <c r="A49" s="224" t="s">
        <v>142</v>
      </c>
      <c r="B49" s="224" t="s">
        <v>121</v>
      </c>
      <c r="C49" s="223">
        <v>1757.14</v>
      </c>
    </row>
    <row r="50" spans="1:3" s="224" customFormat="1" x14ac:dyDescent="0.2">
      <c r="A50" s="224" t="s">
        <v>143</v>
      </c>
      <c r="B50" s="224" t="s">
        <v>144</v>
      </c>
      <c r="C50" s="223">
        <v>28.05</v>
      </c>
    </row>
    <row r="51" spans="1:3" s="224" customFormat="1" x14ac:dyDescent="0.2">
      <c r="A51" s="224" t="s">
        <v>147</v>
      </c>
      <c r="B51" s="224" t="s">
        <v>122</v>
      </c>
      <c r="C51" s="223">
        <v>700.47</v>
      </c>
    </row>
    <row r="52" spans="1:3" s="224" customFormat="1" x14ac:dyDescent="0.2">
      <c r="A52" s="224" t="s">
        <v>148</v>
      </c>
      <c r="B52" s="224" t="s">
        <v>149</v>
      </c>
      <c r="C52" s="223">
        <v>51.43</v>
      </c>
    </row>
    <row r="53" spans="1:3" s="224" customFormat="1" x14ac:dyDescent="0.2">
      <c r="A53" s="224" t="s">
        <v>150</v>
      </c>
      <c r="B53" s="224" t="s">
        <v>151</v>
      </c>
      <c r="C53" s="223">
        <v>108.48</v>
      </c>
    </row>
    <row r="54" spans="1:3" s="224" customFormat="1" x14ac:dyDescent="0.2">
      <c r="A54" s="224" t="s">
        <v>152</v>
      </c>
      <c r="B54" s="224" t="s">
        <v>153</v>
      </c>
      <c r="C54" s="223">
        <v>27.11</v>
      </c>
    </row>
    <row r="55" spans="1:3" s="224" customFormat="1" x14ac:dyDescent="0.2">
      <c r="A55" s="224" t="s">
        <v>154</v>
      </c>
      <c r="B55" s="224" t="s">
        <v>155</v>
      </c>
      <c r="C55" s="223">
        <v>21.85</v>
      </c>
    </row>
    <row r="56" spans="1:3" s="224" customFormat="1" x14ac:dyDescent="0.2">
      <c r="A56" s="224" t="s">
        <v>156</v>
      </c>
      <c r="B56" s="224" t="s">
        <v>124</v>
      </c>
      <c r="C56" s="223">
        <v>24.6</v>
      </c>
    </row>
    <row r="57" spans="1:3" s="224" customFormat="1" x14ac:dyDescent="0.2">
      <c r="A57" s="224" t="s">
        <v>157</v>
      </c>
      <c r="B57" s="224" t="s">
        <v>130</v>
      </c>
      <c r="C57" s="223">
        <v>344.46</v>
      </c>
    </row>
    <row r="58" spans="1:3" s="224" customFormat="1" x14ac:dyDescent="0.2">
      <c r="A58" s="224" t="s">
        <v>162</v>
      </c>
      <c r="B58" s="224" t="s">
        <v>126</v>
      </c>
      <c r="C58" s="223">
        <v>29898.39</v>
      </c>
    </row>
    <row r="59" spans="1:3" s="224" customFormat="1" x14ac:dyDescent="0.2">
      <c r="A59" s="224" t="s">
        <v>164</v>
      </c>
      <c r="B59" s="224" t="s">
        <v>165</v>
      </c>
      <c r="C59" s="223">
        <v>60.48</v>
      </c>
    </row>
    <row r="60" spans="1:3" s="224" customFormat="1" x14ac:dyDescent="0.2">
      <c r="A60" s="224" t="s">
        <v>176</v>
      </c>
      <c r="B60" s="224" t="s">
        <v>177</v>
      </c>
      <c r="C60" s="223">
        <v>32.03</v>
      </c>
    </row>
    <row r="61" spans="1:3" s="224" customFormat="1" x14ac:dyDescent="0.2">
      <c r="A61" s="224" t="s">
        <v>166</v>
      </c>
      <c r="B61" s="224" t="s">
        <v>127</v>
      </c>
      <c r="C61" s="223">
        <v>61</v>
      </c>
    </row>
    <row r="62" spans="1:3" s="224" customFormat="1" x14ac:dyDescent="0.2">
      <c r="A62" s="224" t="s">
        <v>167</v>
      </c>
      <c r="B62" s="224" t="s">
        <v>168</v>
      </c>
      <c r="C62" s="223">
        <v>72.59</v>
      </c>
    </row>
    <row r="63" spans="1:3" s="224" customFormat="1" x14ac:dyDescent="0.2">
      <c r="A63" s="224" t="s">
        <v>172</v>
      </c>
      <c r="B63" s="224" t="s">
        <v>173</v>
      </c>
      <c r="C63" s="223">
        <v>638.4</v>
      </c>
    </row>
    <row r="64" spans="1:3" ht="13.5" thickBot="1" x14ac:dyDescent="0.25">
      <c r="A64" s="224"/>
      <c r="B64" s="224"/>
      <c r="C64" s="225">
        <f>SUM(C45:C63)</f>
        <v>47541.37999999999</v>
      </c>
    </row>
    <row r="66" spans="1:3" x14ac:dyDescent="0.2">
      <c r="A66" s="220" t="s">
        <v>171</v>
      </c>
      <c r="B66" s="220" t="s">
        <v>134</v>
      </c>
      <c r="C66" s="221">
        <v>40755</v>
      </c>
    </row>
    <row r="67" spans="1:3" s="224" customFormat="1" x14ac:dyDescent="0.2">
      <c r="A67" s="223" t="s">
        <v>137</v>
      </c>
      <c r="B67" s="223" t="s">
        <v>131</v>
      </c>
      <c r="C67" s="223">
        <v>878.6</v>
      </c>
    </row>
    <row r="68" spans="1:3" s="224" customFormat="1" x14ac:dyDescent="0.2">
      <c r="A68" s="223" t="s">
        <v>142</v>
      </c>
      <c r="B68" s="223" t="s">
        <v>121</v>
      </c>
      <c r="C68" s="223">
        <v>1861.74</v>
      </c>
    </row>
    <row r="69" spans="1:3" s="224" customFormat="1" x14ac:dyDescent="0.2">
      <c r="A69" s="223" t="s">
        <v>143</v>
      </c>
      <c r="B69" s="223" t="s">
        <v>144</v>
      </c>
      <c r="C69" s="223">
        <v>28.33</v>
      </c>
    </row>
    <row r="70" spans="1:3" s="224" customFormat="1" x14ac:dyDescent="0.2">
      <c r="A70" s="223" t="s">
        <v>187</v>
      </c>
      <c r="B70" s="223" t="s">
        <v>188</v>
      </c>
      <c r="C70" s="223">
        <v>1072.55</v>
      </c>
    </row>
    <row r="71" spans="1:3" s="224" customFormat="1" x14ac:dyDescent="0.2">
      <c r="A71" s="223" t="s">
        <v>147</v>
      </c>
      <c r="B71" s="223" t="s">
        <v>122</v>
      </c>
      <c r="C71" s="223">
        <v>707.13</v>
      </c>
    </row>
    <row r="72" spans="1:3" s="224" customFormat="1" x14ac:dyDescent="0.2">
      <c r="A72" s="223" t="s">
        <v>150</v>
      </c>
      <c r="B72" s="223" t="s">
        <v>151</v>
      </c>
      <c r="C72" s="223">
        <v>138.63999999999999</v>
      </c>
    </row>
    <row r="73" spans="1:3" s="224" customFormat="1" x14ac:dyDescent="0.2">
      <c r="A73" s="223" t="s">
        <v>152</v>
      </c>
      <c r="B73" s="223" t="s">
        <v>153</v>
      </c>
      <c r="C73" s="223">
        <v>27.11</v>
      </c>
    </row>
    <row r="74" spans="1:3" s="224" customFormat="1" x14ac:dyDescent="0.2">
      <c r="A74" s="223" t="s">
        <v>154</v>
      </c>
      <c r="B74" s="223" t="s">
        <v>155</v>
      </c>
      <c r="C74" s="223">
        <v>22.07</v>
      </c>
    </row>
    <row r="75" spans="1:3" s="224" customFormat="1" x14ac:dyDescent="0.2">
      <c r="A75" s="223" t="s">
        <v>156</v>
      </c>
      <c r="B75" s="223" t="s">
        <v>124</v>
      </c>
      <c r="C75" s="223">
        <v>24.85</v>
      </c>
    </row>
    <row r="76" spans="1:3" s="224" customFormat="1" x14ac:dyDescent="0.2">
      <c r="A76" s="223" t="s">
        <v>191</v>
      </c>
      <c r="B76" s="223" t="s">
        <v>192</v>
      </c>
      <c r="C76" s="223">
        <v>9.58</v>
      </c>
    </row>
    <row r="77" spans="1:3" s="224" customFormat="1" x14ac:dyDescent="0.2">
      <c r="A77" s="223" t="s">
        <v>189</v>
      </c>
      <c r="B77" s="223" t="s">
        <v>190</v>
      </c>
      <c r="C77" s="223">
        <v>106.4</v>
      </c>
    </row>
    <row r="78" spans="1:3" s="224" customFormat="1" x14ac:dyDescent="0.2">
      <c r="A78" s="223" t="s">
        <v>162</v>
      </c>
      <c r="B78" s="223" t="s">
        <v>126</v>
      </c>
      <c r="C78" s="223">
        <v>30168.33</v>
      </c>
    </row>
    <row r="79" spans="1:3" s="224" customFormat="1" x14ac:dyDescent="0.2">
      <c r="A79" s="223" t="s">
        <v>163</v>
      </c>
      <c r="B79" s="223" t="s">
        <v>123</v>
      </c>
      <c r="C79" s="223">
        <v>171.55</v>
      </c>
    </row>
    <row r="80" spans="1:3" s="224" customFormat="1" x14ac:dyDescent="0.2">
      <c r="A80" s="223" t="s">
        <v>164</v>
      </c>
      <c r="B80" s="223" t="s">
        <v>165</v>
      </c>
      <c r="C80" s="223">
        <v>61.09</v>
      </c>
    </row>
    <row r="81" spans="1:3" s="224" customFormat="1" x14ac:dyDescent="0.2">
      <c r="A81" s="223" t="s">
        <v>176</v>
      </c>
      <c r="B81" s="223" t="s">
        <v>177</v>
      </c>
      <c r="C81" s="223">
        <v>937.53</v>
      </c>
    </row>
    <row r="82" spans="1:3" s="224" customFormat="1" x14ac:dyDescent="0.2">
      <c r="A82" s="223" t="s">
        <v>166</v>
      </c>
      <c r="B82" s="223" t="s">
        <v>127</v>
      </c>
      <c r="C82" s="223">
        <v>61.59</v>
      </c>
    </row>
    <row r="83" spans="1:3" s="224" customFormat="1" x14ac:dyDescent="0.2">
      <c r="A83" s="223" t="s">
        <v>193</v>
      </c>
      <c r="B83" s="223" t="s">
        <v>194</v>
      </c>
      <c r="C83" s="223">
        <v>5.4</v>
      </c>
    </row>
    <row r="84" spans="1:3" s="224" customFormat="1" x14ac:dyDescent="0.2">
      <c r="A84" s="223" t="s">
        <v>172</v>
      </c>
      <c r="B84" s="223" t="s">
        <v>173</v>
      </c>
      <c r="C84" s="223">
        <v>642.9</v>
      </c>
    </row>
    <row r="85" spans="1:3" ht="13.5" thickBot="1" x14ac:dyDescent="0.25">
      <c r="A85" s="224"/>
      <c r="B85" s="224"/>
      <c r="C85" s="225">
        <f>SUM(C67:C84)</f>
        <v>36925.39</v>
      </c>
    </row>
    <row r="87" spans="1:3" x14ac:dyDescent="0.2">
      <c r="A87" s="220" t="s">
        <v>171</v>
      </c>
      <c r="B87" s="220" t="s">
        <v>134</v>
      </c>
      <c r="C87" s="221">
        <v>40786</v>
      </c>
    </row>
    <row r="88" spans="1:3" s="224" customFormat="1" x14ac:dyDescent="0.2">
      <c r="A88" s="223" t="s">
        <v>137</v>
      </c>
      <c r="B88" s="223" t="s">
        <v>131</v>
      </c>
      <c r="C88" s="227">
        <v>883.15</v>
      </c>
    </row>
    <row r="89" spans="1:3" s="224" customFormat="1" x14ac:dyDescent="0.2">
      <c r="A89" s="223" t="s">
        <v>199</v>
      </c>
      <c r="B89" s="223" t="s">
        <v>200</v>
      </c>
      <c r="C89" s="227">
        <v>4153.8</v>
      </c>
    </row>
    <row r="90" spans="1:3" s="224" customFormat="1" x14ac:dyDescent="0.2">
      <c r="A90" s="223" t="s">
        <v>145</v>
      </c>
      <c r="B90" s="223" t="s">
        <v>146</v>
      </c>
      <c r="C90" s="227">
        <v>336.8</v>
      </c>
    </row>
    <row r="91" spans="1:3" s="224" customFormat="1" x14ac:dyDescent="0.2">
      <c r="A91" s="223" t="s">
        <v>187</v>
      </c>
      <c r="B91" s="223" t="s">
        <v>188</v>
      </c>
      <c r="C91" s="227">
        <v>1072.55</v>
      </c>
    </row>
    <row r="92" spans="1:3" s="224" customFormat="1" x14ac:dyDescent="0.2">
      <c r="A92" s="223" t="s">
        <v>147</v>
      </c>
      <c r="B92" s="223" t="s">
        <v>122</v>
      </c>
      <c r="C92" s="227">
        <v>714.01</v>
      </c>
    </row>
    <row r="93" spans="1:3" s="224" customFormat="1" x14ac:dyDescent="0.2">
      <c r="A93" s="223" t="s">
        <v>150</v>
      </c>
      <c r="B93" s="223" t="s">
        <v>151</v>
      </c>
      <c r="C93" s="227">
        <v>138.63999999999999</v>
      </c>
    </row>
    <row r="94" spans="1:3" s="224" customFormat="1" x14ac:dyDescent="0.2">
      <c r="A94" s="223" t="s">
        <v>152</v>
      </c>
      <c r="B94" s="223" t="s">
        <v>153</v>
      </c>
      <c r="C94" s="227">
        <v>27.11</v>
      </c>
    </row>
    <row r="95" spans="1:3" s="224" customFormat="1" x14ac:dyDescent="0.2">
      <c r="A95" s="223" t="s">
        <v>156</v>
      </c>
      <c r="B95" s="223" t="s">
        <v>124</v>
      </c>
      <c r="C95" s="227">
        <v>69.239999999999995</v>
      </c>
    </row>
    <row r="96" spans="1:3" s="224" customFormat="1" x14ac:dyDescent="0.2">
      <c r="A96" s="223" t="s">
        <v>191</v>
      </c>
      <c r="B96" s="223" t="s">
        <v>192</v>
      </c>
      <c r="C96" s="227">
        <v>9.58</v>
      </c>
    </row>
    <row r="97" spans="1:3" s="224" customFormat="1" x14ac:dyDescent="0.2">
      <c r="A97" s="223" t="s">
        <v>189</v>
      </c>
      <c r="B97" s="223" t="s">
        <v>190</v>
      </c>
      <c r="C97" s="227">
        <v>107.29</v>
      </c>
    </row>
    <row r="98" spans="1:3" s="224" customFormat="1" x14ac:dyDescent="0.2">
      <c r="A98" s="223" t="s">
        <v>162</v>
      </c>
      <c r="B98" s="223" t="s">
        <v>126</v>
      </c>
      <c r="C98" s="227">
        <v>30462.560000000001</v>
      </c>
    </row>
    <row r="99" spans="1:3" s="224" customFormat="1" x14ac:dyDescent="0.2">
      <c r="A99" s="223" t="s">
        <v>163</v>
      </c>
      <c r="B99" s="223" t="s">
        <v>123</v>
      </c>
      <c r="C99" s="227">
        <v>171.55</v>
      </c>
    </row>
    <row r="100" spans="1:3" s="224" customFormat="1" x14ac:dyDescent="0.2">
      <c r="A100" s="223" t="s">
        <v>201</v>
      </c>
      <c r="B100" s="223" t="s">
        <v>202</v>
      </c>
      <c r="C100" s="227">
        <v>22.19</v>
      </c>
    </row>
    <row r="101" spans="1:3" s="224" customFormat="1" x14ac:dyDescent="0.2">
      <c r="A101" s="223" t="s">
        <v>203</v>
      </c>
      <c r="B101" s="223" t="s">
        <v>204</v>
      </c>
      <c r="C101" s="227">
        <v>4.43</v>
      </c>
    </row>
    <row r="102" spans="1:3" s="224" customFormat="1" x14ac:dyDescent="0.2">
      <c r="A102" s="223" t="s">
        <v>164</v>
      </c>
      <c r="B102" s="223" t="s">
        <v>165</v>
      </c>
      <c r="C102" s="227">
        <v>61.72</v>
      </c>
    </row>
    <row r="103" spans="1:3" s="224" customFormat="1" x14ac:dyDescent="0.2">
      <c r="A103" s="223" t="s">
        <v>176</v>
      </c>
      <c r="B103" s="223" t="s">
        <v>177</v>
      </c>
      <c r="C103" s="227">
        <v>941.23</v>
      </c>
    </row>
    <row r="104" spans="1:3" s="224" customFormat="1" x14ac:dyDescent="0.2">
      <c r="A104" s="223" t="s">
        <v>205</v>
      </c>
      <c r="B104" s="223" t="s">
        <v>206</v>
      </c>
      <c r="C104" s="227">
        <v>2.09</v>
      </c>
    </row>
    <row r="105" spans="1:3" s="224" customFormat="1" x14ac:dyDescent="0.2">
      <c r="A105" s="223" t="s">
        <v>166</v>
      </c>
      <c r="B105" s="223" t="s">
        <v>127</v>
      </c>
      <c r="C105" s="227">
        <v>62.2</v>
      </c>
    </row>
    <row r="106" spans="1:3" s="224" customFormat="1" x14ac:dyDescent="0.2">
      <c r="A106" s="223" t="s">
        <v>207</v>
      </c>
      <c r="B106" s="223" t="s">
        <v>208</v>
      </c>
      <c r="C106" s="227">
        <v>153.88999999999999</v>
      </c>
    </row>
    <row r="107" spans="1:3" s="224" customFormat="1" x14ac:dyDescent="0.2">
      <c r="A107" s="223" t="s">
        <v>193</v>
      </c>
      <c r="B107" s="223" t="s">
        <v>194</v>
      </c>
      <c r="C107" s="227">
        <v>2068.2399999999998</v>
      </c>
    </row>
    <row r="108" spans="1:3" s="224" customFormat="1" x14ac:dyDescent="0.2">
      <c r="A108" s="223" t="s">
        <v>172</v>
      </c>
      <c r="B108" s="223" t="s">
        <v>173</v>
      </c>
      <c r="C108" s="227">
        <v>656.58</v>
      </c>
    </row>
    <row r="109" spans="1:3" ht="13.5" thickBot="1" x14ac:dyDescent="0.25">
      <c r="A109" s="223"/>
      <c r="B109" s="223"/>
      <c r="C109" s="228">
        <f>SUM(C88:C108)</f>
        <v>42118.850000000006</v>
      </c>
    </row>
    <row r="110" spans="1:3" s="224" customFormat="1" x14ac:dyDescent="0.2">
      <c r="A110" s="223"/>
      <c r="B110" s="223"/>
      <c r="C110" s="223"/>
    </row>
    <row r="111" spans="1:3" x14ac:dyDescent="0.2">
      <c r="A111" s="220" t="s">
        <v>171</v>
      </c>
      <c r="B111" s="220" t="s">
        <v>134</v>
      </c>
      <c r="C111" s="221">
        <v>40816</v>
      </c>
    </row>
    <row r="112" spans="1:3" s="224" customFormat="1" x14ac:dyDescent="0.2">
      <c r="A112" s="223" t="s">
        <v>232</v>
      </c>
      <c r="B112" s="223" t="s">
        <v>233</v>
      </c>
      <c r="C112" s="227">
        <v>2.5</v>
      </c>
    </row>
    <row r="113" spans="1:3" s="224" customFormat="1" x14ac:dyDescent="0.2">
      <c r="A113" s="223" t="s">
        <v>137</v>
      </c>
      <c r="B113" s="223" t="s">
        <v>131</v>
      </c>
      <c r="C113" s="227">
        <v>891.66</v>
      </c>
    </row>
    <row r="114" spans="1:3" s="224" customFormat="1" x14ac:dyDescent="0.2">
      <c r="A114" s="223" t="s">
        <v>221</v>
      </c>
      <c r="B114" s="223" t="s">
        <v>128</v>
      </c>
      <c r="C114" s="227">
        <v>631.20000000000005</v>
      </c>
    </row>
    <row r="115" spans="1:3" s="224" customFormat="1" x14ac:dyDescent="0.2">
      <c r="A115" s="223" t="s">
        <v>211</v>
      </c>
      <c r="B115" s="223" t="s">
        <v>212</v>
      </c>
      <c r="C115" s="227">
        <v>8008.89</v>
      </c>
    </row>
    <row r="116" spans="1:3" s="224" customFormat="1" x14ac:dyDescent="0.2">
      <c r="A116" s="223" t="s">
        <v>199</v>
      </c>
      <c r="B116" s="223" t="s">
        <v>200</v>
      </c>
      <c r="C116" s="227">
        <v>4153.8</v>
      </c>
    </row>
    <row r="117" spans="1:3" s="224" customFormat="1" x14ac:dyDescent="0.2">
      <c r="A117" s="223" t="s">
        <v>217</v>
      </c>
      <c r="B117" s="223" t="s">
        <v>218</v>
      </c>
      <c r="C117" s="227">
        <v>2640.7</v>
      </c>
    </row>
    <row r="118" spans="1:3" s="224" customFormat="1" x14ac:dyDescent="0.2">
      <c r="A118" s="223" t="s">
        <v>238</v>
      </c>
      <c r="B118" s="223" t="s">
        <v>239</v>
      </c>
      <c r="C118" s="227">
        <v>0.15</v>
      </c>
    </row>
    <row r="119" spans="1:3" s="224" customFormat="1" x14ac:dyDescent="0.2">
      <c r="A119" s="223" t="s">
        <v>145</v>
      </c>
      <c r="B119" s="223" t="s">
        <v>146</v>
      </c>
      <c r="C119" s="227">
        <v>336.8</v>
      </c>
    </row>
    <row r="120" spans="1:3" s="224" customFormat="1" x14ac:dyDescent="0.2">
      <c r="A120" s="223" t="s">
        <v>187</v>
      </c>
      <c r="B120" s="223" t="s">
        <v>188</v>
      </c>
      <c r="C120" s="227">
        <v>1072.55</v>
      </c>
    </row>
    <row r="121" spans="1:3" s="224" customFormat="1" x14ac:dyDescent="0.2">
      <c r="A121" s="223" t="s">
        <v>147</v>
      </c>
      <c r="B121" s="223" t="s">
        <v>122</v>
      </c>
      <c r="C121" s="227">
        <v>720.67</v>
      </c>
    </row>
    <row r="122" spans="1:3" s="224" customFormat="1" x14ac:dyDescent="0.2">
      <c r="A122" s="223" t="s">
        <v>215</v>
      </c>
      <c r="B122" s="223" t="s">
        <v>216</v>
      </c>
      <c r="C122" s="227">
        <v>3119.2</v>
      </c>
    </row>
    <row r="123" spans="1:3" s="224" customFormat="1" x14ac:dyDescent="0.2">
      <c r="A123" s="223" t="s">
        <v>150</v>
      </c>
      <c r="B123" s="223" t="s">
        <v>151</v>
      </c>
      <c r="C123" s="227">
        <v>138.63999999999999</v>
      </c>
    </row>
    <row r="124" spans="1:3" s="224" customFormat="1" x14ac:dyDescent="0.2">
      <c r="A124" s="223" t="s">
        <v>152</v>
      </c>
      <c r="B124" s="223" t="s">
        <v>153</v>
      </c>
      <c r="C124" s="227">
        <v>27.11</v>
      </c>
    </row>
    <row r="125" spans="1:3" s="224" customFormat="1" x14ac:dyDescent="0.2">
      <c r="A125" s="223" t="s">
        <v>226</v>
      </c>
      <c r="B125" s="223" t="s">
        <v>227</v>
      </c>
      <c r="C125" s="227">
        <v>24.67</v>
      </c>
    </row>
    <row r="126" spans="1:3" s="224" customFormat="1" x14ac:dyDescent="0.2">
      <c r="A126" s="223" t="s">
        <v>156</v>
      </c>
      <c r="B126" s="223" t="s">
        <v>124</v>
      </c>
      <c r="C126" s="227">
        <v>69.86</v>
      </c>
    </row>
    <row r="127" spans="1:3" s="224" customFormat="1" x14ac:dyDescent="0.2">
      <c r="A127" s="223" t="s">
        <v>191</v>
      </c>
      <c r="B127" s="223" t="s">
        <v>192</v>
      </c>
      <c r="C127" s="227">
        <v>9.58</v>
      </c>
    </row>
    <row r="128" spans="1:3" s="224" customFormat="1" x14ac:dyDescent="0.2">
      <c r="A128" s="223" t="s">
        <v>234</v>
      </c>
      <c r="B128" s="223" t="s">
        <v>235</v>
      </c>
      <c r="C128" s="227">
        <v>2.33</v>
      </c>
    </row>
    <row r="129" spans="1:3" s="224" customFormat="1" x14ac:dyDescent="0.2">
      <c r="A129" s="223" t="s">
        <v>236</v>
      </c>
      <c r="B129" s="223" t="s">
        <v>237</v>
      </c>
      <c r="C129" s="227">
        <v>1.79</v>
      </c>
    </row>
    <row r="130" spans="1:3" s="224" customFormat="1" x14ac:dyDescent="0.2">
      <c r="A130" s="223" t="s">
        <v>228</v>
      </c>
      <c r="B130" s="223" t="s">
        <v>229</v>
      </c>
      <c r="C130" s="227">
        <v>23.65</v>
      </c>
    </row>
    <row r="131" spans="1:3" s="224" customFormat="1" x14ac:dyDescent="0.2">
      <c r="A131" s="223" t="s">
        <v>230</v>
      </c>
      <c r="B131" s="223" t="s">
        <v>231</v>
      </c>
      <c r="C131" s="227">
        <v>22.08</v>
      </c>
    </row>
    <row r="132" spans="1:3" s="224" customFormat="1" x14ac:dyDescent="0.2">
      <c r="A132" s="223" t="s">
        <v>224</v>
      </c>
      <c r="B132" s="223" t="s">
        <v>225</v>
      </c>
      <c r="C132" s="227">
        <v>26.36</v>
      </c>
    </row>
    <row r="133" spans="1:3" s="224" customFormat="1" x14ac:dyDescent="0.2">
      <c r="A133" s="223" t="s">
        <v>162</v>
      </c>
      <c r="B133" s="223" t="s">
        <v>126</v>
      </c>
      <c r="C133" s="227">
        <v>20725.3</v>
      </c>
    </row>
    <row r="134" spans="1:3" s="224" customFormat="1" x14ac:dyDescent="0.2">
      <c r="A134" s="223" t="s">
        <v>163</v>
      </c>
      <c r="B134" s="223" t="s">
        <v>123</v>
      </c>
      <c r="C134" s="227">
        <v>359.77</v>
      </c>
    </row>
    <row r="135" spans="1:3" s="224" customFormat="1" x14ac:dyDescent="0.2">
      <c r="A135" s="223" t="s">
        <v>201</v>
      </c>
      <c r="B135" s="223" t="s">
        <v>202</v>
      </c>
      <c r="C135" s="227">
        <v>22.38</v>
      </c>
    </row>
    <row r="136" spans="1:3" s="224" customFormat="1" x14ac:dyDescent="0.2">
      <c r="A136" s="223" t="s">
        <v>203</v>
      </c>
      <c r="B136" s="223" t="s">
        <v>204</v>
      </c>
      <c r="C136" s="227">
        <v>1315.73</v>
      </c>
    </row>
    <row r="137" spans="1:3" s="224" customFormat="1" x14ac:dyDescent="0.2">
      <c r="A137" s="223" t="s">
        <v>164</v>
      </c>
      <c r="B137" s="223" t="s">
        <v>165</v>
      </c>
      <c r="C137" s="227">
        <v>92.13</v>
      </c>
    </row>
    <row r="138" spans="1:3" s="224" customFormat="1" x14ac:dyDescent="0.2">
      <c r="A138" s="223" t="s">
        <v>219</v>
      </c>
      <c r="B138" s="223" t="s">
        <v>220</v>
      </c>
      <c r="C138" s="227">
        <v>2315.09</v>
      </c>
    </row>
    <row r="139" spans="1:3" s="224" customFormat="1" x14ac:dyDescent="0.2">
      <c r="A139" s="223" t="s">
        <v>166</v>
      </c>
      <c r="B139" s="223" t="s">
        <v>127</v>
      </c>
      <c r="C139" s="227">
        <v>83.25</v>
      </c>
    </row>
    <row r="140" spans="1:3" s="224" customFormat="1" x14ac:dyDescent="0.2">
      <c r="A140" s="223" t="s">
        <v>207</v>
      </c>
      <c r="B140" s="223" t="s">
        <v>208</v>
      </c>
      <c r="C140" s="227">
        <v>155.18</v>
      </c>
    </row>
    <row r="141" spans="1:3" s="224" customFormat="1" x14ac:dyDescent="0.2">
      <c r="A141" s="223" t="s">
        <v>213</v>
      </c>
      <c r="B141" s="223" t="s">
        <v>214</v>
      </c>
      <c r="C141" s="227">
        <v>3358.3</v>
      </c>
    </row>
    <row r="142" spans="1:3" s="224" customFormat="1" x14ac:dyDescent="0.2">
      <c r="A142" s="223" t="s">
        <v>193</v>
      </c>
      <c r="B142" s="223" t="s">
        <v>194</v>
      </c>
      <c r="C142" s="227">
        <v>1969.14</v>
      </c>
    </row>
    <row r="143" spans="1:3" s="224" customFormat="1" x14ac:dyDescent="0.2">
      <c r="A143" s="223" t="s">
        <v>222</v>
      </c>
      <c r="B143" s="223" t="s">
        <v>223</v>
      </c>
      <c r="C143" s="227">
        <v>37.659999999999997</v>
      </c>
    </row>
    <row r="144" spans="1:3" ht="13.5" thickBot="1" x14ac:dyDescent="0.25">
      <c r="A144" s="223"/>
      <c r="B144" s="223"/>
      <c r="C144" s="228">
        <f>SUM(C112:C143)</f>
        <v>52358.12</v>
      </c>
    </row>
    <row r="146" spans="1:4" x14ac:dyDescent="0.2">
      <c r="A146" s="220" t="s">
        <v>171</v>
      </c>
      <c r="B146" s="220" t="s">
        <v>134</v>
      </c>
      <c r="C146" s="221">
        <v>40847</v>
      </c>
    </row>
    <row r="147" spans="1:4" x14ac:dyDescent="0.2">
      <c r="A147" s="222" t="s">
        <v>232</v>
      </c>
      <c r="B147" s="222" t="s">
        <v>233</v>
      </c>
      <c r="C147" s="226">
        <v>31.7</v>
      </c>
    </row>
    <row r="148" spans="1:4" x14ac:dyDescent="0.2">
      <c r="A148" s="222" t="s">
        <v>245</v>
      </c>
      <c r="B148" s="222" t="s">
        <v>246</v>
      </c>
      <c r="C148" s="226">
        <v>9.4</v>
      </c>
    </row>
    <row r="149" spans="1:4" x14ac:dyDescent="0.2">
      <c r="A149" s="222" t="s">
        <v>247</v>
      </c>
      <c r="B149" s="222" t="s">
        <v>248</v>
      </c>
      <c r="C149" s="226">
        <v>0.41</v>
      </c>
    </row>
    <row r="150" spans="1:4" x14ac:dyDescent="0.2">
      <c r="A150" s="222" t="s">
        <v>137</v>
      </c>
      <c r="B150" s="222" t="s">
        <v>131</v>
      </c>
      <c r="C150" s="226">
        <v>900.76</v>
      </c>
    </row>
    <row r="151" spans="1:4" x14ac:dyDescent="0.2">
      <c r="A151" s="222" t="s">
        <v>221</v>
      </c>
      <c r="B151" s="222" t="s">
        <v>128</v>
      </c>
      <c r="C151" s="226">
        <v>5.08</v>
      </c>
    </row>
    <row r="152" spans="1:4" x14ac:dyDescent="0.2">
      <c r="A152" s="222" t="s">
        <v>211</v>
      </c>
      <c r="B152" s="222" t="s">
        <v>212</v>
      </c>
      <c r="C152" s="226">
        <v>0</v>
      </c>
      <c r="D152" t="s">
        <v>252</v>
      </c>
    </row>
    <row r="153" spans="1:4" x14ac:dyDescent="0.2">
      <c r="A153" s="222" t="s">
        <v>243</v>
      </c>
      <c r="B153" s="222" t="s">
        <v>244</v>
      </c>
      <c r="C153" s="226">
        <v>96.6</v>
      </c>
    </row>
    <row r="154" spans="1:4" x14ac:dyDescent="0.2">
      <c r="A154" s="222" t="s">
        <v>138</v>
      </c>
      <c r="B154" s="222" t="s">
        <v>125</v>
      </c>
      <c r="C154" s="226">
        <v>205.2</v>
      </c>
    </row>
    <row r="155" spans="1:4" x14ac:dyDescent="0.2">
      <c r="A155" s="222" t="s">
        <v>199</v>
      </c>
      <c r="B155" s="222" t="s">
        <v>200</v>
      </c>
      <c r="C155" s="226">
        <v>23.85</v>
      </c>
    </row>
    <row r="156" spans="1:4" x14ac:dyDescent="0.2">
      <c r="A156" s="222" t="s">
        <v>217</v>
      </c>
      <c r="B156" s="222" t="s">
        <v>218</v>
      </c>
      <c r="C156" s="226">
        <v>2661.97</v>
      </c>
    </row>
    <row r="157" spans="1:4" x14ac:dyDescent="0.2">
      <c r="A157" s="222" t="s">
        <v>238</v>
      </c>
      <c r="B157" s="222" t="s">
        <v>239</v>
      </c>
      <c r="C157" s="226">
        <v>1.86</v>
      </c>
    </row>
    <row r="158" spans="1:4" x14ac:dyDescent="0.2">
      <c r="A158" s="222" t="s">
        <v>145</v>
      </c>
      <c r="B158" s="222" t="s">
        <v>146</v>
      </c>
      <c r="C158" s="226">
        <v>0</v>
      </c>
      <c r="D158" t="s">
        <v>251</v>
      </c>
    </row>
    <row r="159" spans="1:4" x14ac:dyDescent="0.2">
      <c r="A159" s="222" t="s">
        <v>187</v>
      </c>
      <c r="B159" s="222" t="s">
        <v>188</v>
      </c>
      <c r="C159" s="226">
        <v>1586.66</v>
      </c>
    </row>
    <row r="160" spans="1:4" x14ac:dyDescent="0.2">
      <c r="A160" s="222" t="s">
        <v>147</v>
      </c>
      <c r="B160" s="222" t="s">
        <v>122</v>
      </c>
      <c r="C160" s="226">
        <v>66.150000000000006</v>
      </c>
    </row>
    <row r="161" spans="1:3" x14ac:dyDescent="0.2">
      <c r="A161" s="222" t="s">
        <v>150</v>
      </c>
      <c r="B161" s="222" t="s">
        <v>151</v>
      </c>
      <c r="C161" s="226">
        <v>138.63999999999999</v>
      </c>
    </row>
    <row r="162" spans="1:3" x14ac:dyDescent="0.2">
      <c r="A162" s="222" t="s">
        <v>152</v>
      </c>
      <c r="B162" s="222" t="s">
        <v>153</v>
      </c>
      <c r="C162" s="226">
        <v>27.61</v>
      </c>
    </row>
    <row r="163" spans="1:3" x14ac:dyDescent="0.2">
      <c r="A163" s="222" t="s">
        <v>226</v>
      </c>
      <c r="B163" s="222" t="s">
        <v>227</v>
      </c>
      <c r="C163" s="226">
        <v>24.69</v>
      </c>
    </row>
    <row r="164" spans="1:3" x14ac:dyDescent="0.2">
      <c r="A164" s="222" t="s">
        <v>156</v>
      </c>
      <c r="B164" s="222" t="s">
        <v>124</v>
      </c>
      <c r="C164" s="226">
        <v>70.569999999999993</v>
      </c>
    </row>
    <row r="165" spans="1:3" x14ac:dyDescent="0.2">
      <c r="A165" s="222" t="s">
        <v>191</v>
      </c>
      <c r="B165" s="222" t="s">
        <v>192</v>
      </c>
      <c r="C165" s="226">
        <v>9.58</v>
      </c>
    </row>
    <row r="166" spans="1:3" x14ac:dyDescent="0.2">
      <c r="A166" s="222" t="s">
        <v>234</v>
      </c>
      <c r="B166" s="222" t="s">
        <v>235</v>
      </c>
      <c r="C166" s="226">
        <v>2.33</v>
      </c>
    </row>
    <row r="167" spans="1:3" x14ac:dyDescent="0.2">
      <c r="A167" s="222" t="s">
        <v>236</v>
      </c>
      <c r="B167" s="222" t="s">
        <v>237</v>
      </c>
      <c r="C167" s="226">
        <v>1.79</v>
      </c>
    </row>
    <row r="168" spans="1:3" x14ac:dyDescent="0.2">
      <c r="A168" s="222" t="s">
        <v>228</v>
      </c>
      <c r="B168" s="222" t="s">
        <v>229</v>
      </c>
      <c r="C168" s="226">
        <v>23.67</v>
      </c>
    </row>
    <row r="169" spans="1:3" x14ac:dyDescent="0.2">
      <c r="A169" s="222" t="s">
        <v>249</v>
      </c>
      <c r="B169" s="222" t="s">
        <v>250</v>
      </c>
      <c r="C169" s="226">
        <v>0.02</v>
      </c>
    </row>
    <row r="170" spans="1:3" x14ac:dyDescent="0.2">
      <c r="A170" s="222" t="s">
        <v>230</v>
      </c>
      <c r="B170" s="222" t="s">
        <v>231</v>
      </c>
      <c r="C170" s="226">
        <v>22.1</v>
      </c>
    </row>
    <row r="171" spans="1:3" x14ac:dyDescent="0.2">
      <c r="A171" s="222" t="s">
        <v>224</v>
      </c>
      <c r="B171" s="222" t="s">
        <v>225</v>
      </c>
      <c r="C171" s="226">
        <v>26.39</v>
      </c>
    </row>
    <row r="172" spans="1:3" x14ac:dyDescent="0.2">
      <c r="A172" s="222" t="s">
        <v>162</v>
      </c>
      <c r="B172" s="222" t="s">
        <v>126</v>
      </c>
      <c r="C172" s="226">
        <v>21019.53</v>
      </c>
    </row>
    <row r="173" spans="1:3" x14ac:dyDescent="0.2">
      <c r="A173" s="222" t="s">
        <v>163</v>
      </c>
      <c r="B173" s="222" t="s">
        <v>123</v>
      </c>
      <c r="C173" s="226">
        <v>784.82</v>
      </c>
    </row>
    <row r="174" spans="1:3" x14ac:dyDescent="0.2">
      <c r="A174" s="222" t="s">
        <v>241</v>
      </c>
      <c r="B174" s="222" t="s">
        <v>242</v>
      </c>
      <c r="C174" s="226">
        <v>194</v>
      </c>
    </row>
    <row r="175" spans="1:3" x14ac:dyDescent="0.2">
      <c r="A175" s="222" t="s">
        <v>201</v>
      </c>
      <c r="B175" s="222" t="s">
        <v>202</v>
      </c>
      <c r="C175" s="226">
        <v>22.61</v>
      </c>
    </row>
    <row r="176" spans="1:3" x14ac:dyDescent="0.2">
      <c r="A176" s="222" t="s">
        <v>164</v>
      </c>
      <c r="B176" s="222" t="s">
        <v>165</v>
      </c>
      <c r="C176" s="226">
        <v>92.79</v>
      </c>
    </row>
    <row r="177" spans="1:3" x14ac:dyDescent="0.2">
      <c r="A177" s="222" t="s">
        <v>219</v>
      </c>
      <c r="B177" s="222" t="s">
        <v>220</v>
      </c>
      <c r="C177" s="226">
        <v>2315.09</v>
      </c>
    </row>
    <row r="178" spans="1:3" x14ac:dyDescent="0.2">
      <c r="A178" s="222" t="s">
        <v>166</v>
      </c>
      <c r="B178" s="222" t="s">
        <v>127</v>
      </c>
      <c r="C178" s="226">
        <v>83.88</v>
      </c>
    </row>
    <row r="179" spans="1:3" x14ac:dyDescent="0.2">
      <c r="A179" s="222" t="s">
        <v>207</v>
      </c>
      <c r="B179" s="222" t="s">
        <v>208</v>
      </c>
      <c r="C179" s="226">
        <v>156.78</v>
      </c>
    </row>
    <row r="180" spans="1:3" x14ac:dyDescent="0.2">
      <c r="A180" s="222" t="s">
        <v>213</v>
      </c>
      <c r="B180" s="222" t="s">
        <v>214</v>
      </c>
      <c r="C180" s="226">
        <v>27.05</v>
      </c>
    </row>
    <row r="181" spans="1:3" x14ac:dyDescent="0.2">
      <c r="A181" s="222" t="s">
        <v>193</v>
      </c>
      <c r="B181" s="222" t="s">
        <v>194</v>
      </c>
      <c r="C181" s="226">
        <v>209.55</v>
      </c>
    </row>
    <row r="182" spans="1:3" x14ac:dyDescent="0.2">
      <c r="A182" s="222" t="s">
        <v>222</v>
      </c>
      <c r="B182" s="222" t="s">
        <v>223</v>
      </c>
      <c r="C182" s="226">
        <v>37.700000000000003</v>
      </c>
    </row>
    <row r="183" spans="1:3" ht="13.5" thickBot="1" x14ac:dyDescent="0.25">
      <c r="C183" s="228">
        <f>SUM(C147:C182)</f>
        <v>30880.829999999998</v>
      </c>
    </row>
    <row r="185" spans="1:3" x14ac:dyDescent="0.2">
      <c r="A185" s="249" t="s">
        <v>171</v>
      </c>
      <c r="B185" s="249" t="s">
        <v>134</v>
      </c>
      <c r="C185" s="252">
        <v>40848</v>
      </c>
    </row>
    <row r="186" spans="1:3" x14ac:dyDescent="0.2">
      <c r="A186" s="113" t="s">
        <v>256</v>
      </c>
      <c r="B186" s="113" t="s">
        <v>257</v>
      </c>
      <c r="C186" s="250">
        <v>35264.910000000003</v>
      </c>
    </row>
    <row r="187" spans="1:3" x14ac:dyDescent="0.2">
      <c r="A187" s="113" t="s">
        <v>162</v>
      </c>
      <c r="B187" s="113" t="s">
        <v>126</v>
      </c>
      <c r="C187" s="250">
        <v>21313.759999999998</v>
      </c>
    </row>
    <row r="188" spans="1:3" x14ac:dyDescent="0.2">
      <c r="A188" s="113" t="s">
        <v>217</v>
      </c>
      <c r="B188" s="113" t="s">
        <v>218</v>
      </c>
      <c r="C188" s="250">
        <v>2689.44</v>
      </c>
    </row>
    <row r="189" spans="1:3" x14ac:dyDescent="0.2">
      <c r="A189" s="113" t="s">
        <v>258</v>
      </c>
      <c r="B189" s="113" t="s">
        <v>259</v>
      </c>
      <c r="C189" s="250">
        <v>935</v>
      </c>
    </row>
    <row r="190" spans="1:3" x14ac:dyDescent="0.2">
      <c r="A190" s="113" t="s">
        <v>193</v>
      </c>
      <c r="B190" s="113" t="s">
        <v>194</v>
      </c>
      <c r="C190" s="250">
        <v>248.85</v>
      </c>
    </row>
    <row r="191" spans="1:3" x14ac:dyDescent="0.2">
      <c r="A191" s="113" t="s">
        <v>163</v>
      </c>
      <c r="B191" s="113" t="s">
        <v>123</v>
      </c>
      <c r="C191" s="250">
        <v>183.18</v>
      </c>
    </row>
    <row r="192" spans="1:3" x14ac:dyDescent="0.2">
      <c r="A192" s="113" t="s">
        <v>207</v>
      </c>
      <c r="B192" s="113" t="s">
        <v>208</v>
      </c>
      <c r="C192" s="250">
        <v>156.78</v>
      </c>
    </row>
    <row r="193" spans="1:3" x14ac:dyDescent="0.2">
      <c r="A193" s="113" t="s">
        <v>260</v>
      </c>
      <c r="B193" s="113" t="s">
        <v>261</v>
      </c>
      <c r="C193" s="250">
        <v>117.3</v>
      </c>
    </row>
    <row r="194" spans="1:3" x14ac:dyDescent="0.2">
      <c r="A194" s="113" t="s">
        <v>262</v>
      </c>
      <c r="B194" s="113" t="s">
        <v>263</v>
      </c>
      <c r="C194" s="250">
        <v>117.3</v>
      </c>
    </row>
    <row r="195" spans="1:3" x14ac:dyDescent="0.2">
      <c r="A195" s="113" t="s">
        <v>264</v>
      </c>
      <c r="B195" s="113" t="s">
        <v>265</v>
      </c>
      <c r="C195" s="250">
        <v>109.48</v>
      </c>
    </row>
    <row r="196" spans="1:3" x14ac:dyDescent="0.2">
      <c r="A196" s="113" t="s">
        <v>156</v>
      </c>
      <c r="B196" s="113" t="s">
        <v>124</v>
      </c>
      <c r="C196" s="250">
        <v>97.84</v>
      </c>
    </row>
    <row r="197" spans="1:3" x14ac:dyDescent="0.2">
      <c r="A197" s="113" t="s">
        <v>164</v>
      </c>
      <c r="B197" s="113" t="s">
        <v>165</v>
      </c>
      <c r="C197" s="250">
        <v>93.73</v>
      </c>
    </row>
    <row r="198" spans="1:3" x14ac:dyDescent="0.2">
      <c r="A198" s="113" t="s">
        <v>166</v>
      </c>
      <c r="B198" s="113" t="s">
        <v>127</v>
      </c>
      <c r="C198" s="250">
        <v>84.71</v>
      </c>
    </row>
    <row r="199" spans="1:3" x14ac:dyDescent="0.2">
      <c r="A199" s="113" t="s">
        <v>147</v>
      </c>
      <c r="B199" s="113" t="s">
        <v>122</v>
      </c>
      <c r="C199" s="250">
        <v>73.03</v>
      </c>
    </row>
    <row r="200" spans="1:3" x14ac:dyDescent="0.2">
      <c r="A200" s="113" t="s">
        <v>169</v>
      </c>
      <c r="B200" s="113" t="s">
        <v>170</v>
      </c>
      <c r="C200" s="250">
        <v>65.849999999999994</v>
      </c>
    </row>
    <row r="201" spans="1:3" x14ac:dyDescent="0.2">
      <c r="A201" s="113" t="s">
        <v>266</v>
      </c>
      <c r="B201" s="113" t="s">
        <v>267</v>
      </c>
      <c r="C201" s="250">
        <v>58.4</v>
      </c>
    </row>
    <row r="202" spans="1:3" x14ac:dyDescent="0.2">
      <c r="A202" s="113" t="s">
        <v>268</v>
      </c>
      <c r="B202" s="113" t="s">
        <v>269</v>
      </c>
      <c r="C202" s="250">
        <v>38.409999999999997</v>
      </c>
    </row>
    <row r="203" spans="1:3" x14ac:dyDescent="0.2">
      <c r="A203" s="113" t="s">
        <v>222</v>
      </c>
      <c r="B203" s="113" t="s">
        <v>223</v>
      </c>
      <c r="C203" s="250">
        <v>38.090000000000003</v>
      </c>
    </row>
    <row r="204" spans="1:3" x14ac:dyDescent="0.2">
      <c r="A204" s="113" t="s">
        <v>270</v>
      </c>
      <c r="B204" s="113" t="s">
        <v>271</v>
      </c>
      <c r="C204" s="250">
        <v>37.880000000000003</v>
      </c>
    </row>
    <row r="205" spans="1:3" x14ac:dyDescent="0.2">
      <c r="A205" s="113" t="s">
        <v>137</v>
      </c>
      <c r="B205" s="113" t="s">
        <v>131</v>
      </c>
      <c r="C205" s="250">
        <v>35.659999999999997</v>
      </c>
    </row>
    <row r="206" spans="1:3" x14ac:dyDescent="0.2">
      <c r="A206" s="113" t="s">
        <v>152</v>
      </c>
      <c r="B206" s="113" t="s">
        <v>153</v>
      </c>
      <c r="C206" s="250">
        <v>27.61</v>
      </c>
    </row>
    <row r="207" spans="1:3" x14ac:dyDescent="0.2">
      <c r="A207" s="113" t="s">
        <v>224</v>
      </c>
      <c r="B207" s="113" t="s">
        <v>225</v>
      </c>
      <c r="C207" s="250">
        <v>26.66</v>
      </c>
    </row>
    <row r="208" spans="1:3" x14ac:dyDescent="0.2">
      <c r="A208" s="113" t="s">
        <v>272</v>
      </c>
      <c r="B208" s="113" t="s">
        <v>273</v>
      </c>
      <c r="C208" s="250">
        <v>25.63</v>
      </c>
    </row>
    <row r="209" spans="1:3" x14ac:dyDescent="0.2">
      <c r="A209" s="113" t="s">
        <v>226</v>
      </c>
      <c r="B209" s="113" t="s">
        <v>227</v>
      </c>
      <c r="C209" s="250">
        <v>24.95</v>
      </c>
    </row>
    <row r="210" spans="1:3" x14ac:dyDescent="0.2">
      <c r="A210" s="113" t="s">
        <v>228</v>
      </c>
      <c r="B210" s="113" t="s">
        <v>229</v>
      </c>
      <c r="C210" s="250">
        <v>23.92</v>
      </c>
    </row>
    <row r="211" spans="1:3" x14ac:dyDescent="0.2">
      <c r="A211" s="113" t="s">
        <v>274</v>
      </c>
      <c r="B211" s="113" t="s">
        <v>275</v>
      </c>
      <c r="C211" s="250">
        <v>23.2</v>
      </c>
    </row>
    <row r="212" spans="1:3" x14ac:dyDescent="0.2">
      <c r="A212" s="113" t="s">
        <v>201</v>
      </c>
      <c r="B212" s="113" t="s">
        <v>202</v>
      </c>
      <c r="C212" s="250">
        <v>22.84</v>
      </c>
    </row>
    <row r="213" spans="1:3" x14ac:dyDescent="0.2">
      <c r="A213" s="113" t="s">
        <v>230</v>
      </c>
      <c r="B213" s="113" t="s">
        <v>231</v>
      </c>
      <c r="C213" s="250">
        <v>22.33</v>
      </c>
    </row>
    <row r="214" spans="1:3" x14ac:dyDescent="0.2">
      <c r="A214" s="113" t="s">
        <v>219</v>
      </c>
      <c r="B214" s="113" t="s">
        <v>220</v>
      </c>
      <c r="C214" s="250">
        <v>21.76</v>
      </c>
    </row>
    <row r="215" spans="1:3" x14ac:dyDescent="0.2">
      <c r="A215" s="113" t="s">
        <v>245</v>
      </c>
      <c r="B215" s="113" t="s">
        <v>246</v>
      </c>
      <c r="C215" s="250">
        <v>9.4</v>
      </c>
    </row>
    <row r="216" spans="1:3" x14ac:dyDescent="0.2">
      <c r="A216" s="113" t="s">
        <v>238</v>
      </c>
      <c r="B216" s="113" t="s">
        <v>239</v>
      </c>
      <c r="C216" s="250">
        <v>2.38</v>
      </c>
    </row>
    <row r="217" spans="1:3" x14ac:dyDescent="0.2">
      <c r="A217" s="113" t="s">
        <v>236</v>
      </c>
      <c r="B217" s="113" t="s">
        <v>237</v>
      </c>
      <c r="C217" s="250">
        <v>1.79</v>
      </c>
    </row>
    <row r="218" spans="1:3" x14ac:dyDescent="0.2">
      <c r="A218" s="113" t="s">
        <v>247</v>
      </c>
      <c r="B218" s="113" t="s">
        <v>248</v>
      </c>
      <c r="C218" s="250">
        <v>0.92</v>
      </c>
    </row>
    <row r="219" spans="1:3" x14ac:dyDescent="0.2">
      <c r="A219" s="113" t="s">
        <v>276</v>
      </c>
      <c r="B219" s="113" t="s">
        <v>277</v>
      </c>
      <c r="C219" s="250">
        <v>0.19</v>
      </c>
    </row>
    <row r="220" spans="1:3" x14ac:dyDescent="0.2">
      <c r="A220" s="113" t="s">
        <v>249</v>
      </c>
      <c r="B220" s="113" t="s">
        <v>250</v>
      </c>
      <c r="C220" s="250">
        <v>0.02</v>
      </c>
    </row>
    <row r="221" spans="1:3" x14ac:dyDescent="0.2">
      <c r="A221" s="113" t="s">
        <v>278</v>
      </c>
      <c r="B221" s="113" t="s">
        <v>279</v>
      </c>
      <c r="C221" s="250">
        <v>0.02</v>
      </c>
    </row>
    <row r="222" spans="1:3" x14ac:dyDescent="0.2">
      <c r="C222" s="251">
        <f>SUM(C186:C221)</f>
        <v>61993.219999999994</v>
      </c>
    </row>
    <row r="224" spans="1:3" x14ac:dyDescent="0.2">
      <c r="A224" s="255" t="s">
        <v>171</v>
      </c>
      <c r="B224" s="255" t="s">
        <v>134</v>
      </c>
      <c r="C224" s="252">
        <v>40908</v>
      </c>
    </row>
    <row r="225" spans="1:3" x14ac:dyDescent="0.2">
      <c r="A225" s="254" t="s">
        <v>256</v>
      </c>
      <c r="B225" s="254" t="s">
        <v>257</v>
      </c>
      <c r="C225" s="250">
        <v>35512.949999999997</v>
      </c>
    </row>
    <row r="226" spans="1:3" x14ac:dyDescent="0.2">
      <c r="A226" s="254" t="s">
        <v>162</v>
      </c>
      <c r="B226" s="254" t="s">
        <v>126</v>
      </c>
      <c r="C226" s="250">
        <v>21497.59</v>
      </c>
    </row>
    <row r="227" spans="1:3" x14ac:dyDescent="0.2">
      <c r="A227" s="254" t="s">
        <v>193</v>
      </c>
      <c r="B227" s="254" t="s">
        <v>194</v>
      </c>
      <c r="C227" s="250">
        <v>3889.91</v>
      </c>
    </row>
    <row r="228" spans="1:3" x14ac:dyDescent="0.2">
      <c r="A228" s="254" t="s">
        <v>266</v>
      </c>
      <c r="B228" s="254" t="s">
        <v>267</v>
      </c>
      <c r="C228" s="250">
        <v>1128.4000000000001</v>
      </c>
    </row>
    <row r="229" spans="1:3" x14ac:dyDescent="0.2">
      <c r="A229" s="254" t="s">
        <v>142</v>
      </c>
      <c r="B229" s="254" t="s">
        <v>121</v>
      </c>
      <c r="C229" s="250">
        <v>622.9</v>
      </c>
    </row>
    <row r="230" spans="1:3" x14ac:dyDescent="0.2">
      <c r="A230" s="254" t="s">
        <v>280</v>
      </c>
      <c r="B230" s="254" t="s">
        <v>281</v>
      </c>
      <c r="C230" s="250">
        <v>490.8</v>
      </c>
    </row>
    <row r="231" spans="1:3" x14ac:dyDescent="0.2">
      <c r="A231" s="254" t="s">
        <v>260</v>
      </c>
      <c r="B231" s="254" t="s">
        <v>261</v>
      </c>
      <c r="C231" s="250">
        <v>481.6</v>
      </c>
    </row>
    <row r="232" spans="1:3" x14ac:dyDescent="0.2">
      <c r="A232" s="254" t="s">
        <v>282</v>
      </c>
      <c r="B232" s="254" t="s">
        <v>283</v>
      </c>
      <c r="C232" s="250">
        <v>463.43</v>
      </c>
    </row>
    <row r="233" spans="1:3" x14ac:dyDescent="0.2">
      <c r="A233" s="254" t="s">
        <v>284</v>
      </c>
      <c r="B233" s="254" t="s">
        <v>285</v>
      </c>
      <c r="C233" s="250">
        <v>234.6</v>
      </c>
    </row>
    <row r="234" spans="1:3" x14ac:dyDescent="0.2">
      <c r="A234" s="254" t="s">
        <v>207</v>
      </c>
      <c r="B234" s="254" t="s">
        <v>208</v>
      </c>
      <c r="C234" s="250">
        <v>200.23</v>
      </c>
    </row>
    <row r="235" spans="1:3" x14ac:dyDescent="0.2">
      <c r="A235" s="254" t="s">
        <v>164</v>
      </c>
      <c r="B235" s="254" t="s">
        <v>165</v>
      </c>
      <c r="C235" s="250">
        <v>144.58000000000001</v>
      </c>
    </row>
    <row r="236" spans="1:3" x14ac:dyDescent="0.2">
      <c r="A236" s="254" t="s">
        <v>262</v>
      </c>
      <c r="B236" s="254" t="s">
        <v>263</v>
      </c>
      <c r="C236" s="250">
        <v>117.3</v>
      </c>
    </row>
    <row r="237" spans="1:3" x14ac:dyDescent="0.2">
      <c r="A237" s="254" t="s">
        <v>264</v>
      </c>
      <c r="B237" s="254" t="s">
        <v>265</v>
      </c>
      <c r="C237" s="250">
        <v>110.57</v>
      </c>
    </row>
    <row r="238" spans="1:3" x14ac:dyDescent="0.2">
      <c r="A238" s="254" t="s">
        <v>140</v>
      </c>
      <c r="B238" s="254" t="s">
        <v>141</v>
      </c>
      <c r="C238" s="250">
        <v>110.1</v>
      </c>
    </row>
    <row r="239" spans="1:3" x14ac:dyDescent="0.2">
      <c r="A239" s="254" t="s">
        <v>156</v>
      </c>
      <c r="B239" s="254" t="s">
        <v>124</v>
      </c>
      <c r="C239" s="250">
        <v>98.73</v>
      </c>
    </row>
    <row r="240" spans="1:3" x14ac:dyDescent="0.2">
      <c r="A240" s="254" t="s">
        <v>166</v>
      </c>
      <c r="B240" s="254" t="s">
        <v>127</v>
      </c>
      <c r="C240" s="250">
        <v>85.51</v>
      </c>
    </row>
    <row r="241" spans="1:3" x14ac:dyDescent="0.2">
      <c r="A241" s="254" t="s">
        <v>268</v>
      </c>
      <c r="B241" s="254" t="s">
        <v>269</v>
      </c>
      <c r="C241" s="250">
        <v>78.930000000000007</v>
      </c>
    </row>
    <row r="242" spans="1:3" x14ac:dyDescent="0.2">
      <c r="A242" s="254" t="s">
        <v>222</v>
      </c>
      <c r="B242" s="254" t="s">
        <v>223</v>
      </c>
      <c r="C242" s="250">
        <v>75.02</v>
      </c>
    </row>
    <row r="243" spans="1:3" x14ac:dyDescent="0.2">
      <c r="A243" s="254" t="s">
        <v>169</v>
      </c>
      <c r="B243" s="254" t="s">
        <v>170</v>
      </c>
      <c r="C243" s="250">
        <v>66.34</v>
      </c>
    </row>
    <row r="244" spans="1:3" x14ac:dyDescent="0.2">
      <c r="A244" s="254" t="s">
        <v>148</v>
      </c>
      <c r="B244" s="254" t="s">
        <v>149</v>
      </c>
      <c r="C244" s="250">
        <v>28.77</v>
      </c>
    </row>
    <row r="245" spans="1:3" x14ac:dyDescent="0.2">
      <c r="A245" s="254" t="s">
        <v>143</v>
      </c>
      <c r="B245" s="254" t="s">
        <v>144</v>
      </c>
      <c r="C245" s="250">
        <v>28.44</v>
      </c>
    </row>
    <row r="246" spans="1:3" x14ac:dyDescent="0.2">
      <c r="A246" s="254">
        <v>3127</v>
      </c>
      <c r="B246" s="254" t="s">
        <v>273</v>
      </c>
      <c r="C246" s="250">
        <v>25.76</v>
      </c>
    </row>
    <row r="247" spans="1:3" x14ac:dyDescent="0.2">
      <c r="A247" s="254" t="s">
        <v>226</v>
      </c>
      <c r="B247" s="254" t="s">
        <v>227</v>
      </c>
      <c r="C247" s="250">
        <v>25.2</v>
      </c>
    </row>
    <row r="248" spans="1:3" x14ac:dyDescent="0.2">
      <c r="A248" s="254" t="s">
        <v>228</v>
      </c>
      <c r="B248" s="254" t="s">
        <v>229</v>
      </c>
      <c r="C248" s="250">
        <v>24.16</v>
      </c>
    </row>
    <row r="249" spans="1:3" x14ac:dyDescent="0.2">
      <c r="A249" s="254" t="s">
        <v>274</v>
      </c>
      <c r="B249" s="254" t="s">
        <v>275</v>
      </c>
      <c r="C249" s="250">
        <v>23.37</v>
      </c>
    </row>
    <row r="250" spans="1:3" x14ac:dyDescent="0.2">
      <c r="A250" s="254" t="s">
        <v>201</v>
      </c>
      <c r="B250" s="254" t="s">
        <v>202</v>
      </c>
      <c r="C250" s="250">
        <v>23.06</v>
      </c>
    </row>
    <row r="251" spans="1:3" x14ac:dyDescent="0.2">
      <c r="A251" s="254" t="s">
        <v>160</v>
      </c>
      <c r="B251" s="254" t="s">
        <v>161</v>
      </c>
      <c r="C251" s="250">
        <v>19.940000000000001</v>
      </c>
    </row>
    <row r="252" spans="1:3" x14ac:dyDescent="0.2">
      <c r="A252" s="254" t="s">
        <v>163</v>
      </c>
      <c r="B252" s="254" t="s">
        <v>123</v>
      </c>
      <c r="C252" s="250">
        <v>11.63</v>
      </c>
    </row>
    <row r="253" spans="1:3" x14ac:dyDescent="0.2">
      <c r="A253" s="254" t="s">
        <v>245</v>
      </c>
      <c r="B253" s="254" t="s">
        <v>246</v>
      </c>
      <c r="C253" s="250">
        <v>9.49</v>
      </c>
    </row>
    <row r="254" spans="1:3" x14ac:dyDescent="0.2">
      <c r="A254" s="254" t="s">
        <v>238</v>
      </c>
      <c r="B254" s="254" t="s">
        <v>239</v>
      </c>
      <c r="C254" s="250">
        <v>2.38</v>
      </c>
    </row>
    <row r="255" spans="1:3" x14ac:dyDescent="0.2">
      <c r="A255" s="254" t="s">
        <v>230</v>
      </c>
      <c r="B255" s="254" t="s">
        <v>231</v>
      </c>
      <c r="C255" s="250">
        <v>0.47</v>
      </c>
    </row>
    <row r="256" spans="1:3" x14ac:dyDescent="0.2">
      <c r="A256" s="254" t="s">
        <v>288</v>
      </c>
      <c r="B256" s="254" t="s">
        <v>289</v>
      </c>
      <c r="C256" s="250">
        <v>0.46</v>
      </c>
    </row>
    <row r="257" spans="1:3" x14ac:dyDescent="0.2">
      <c r="A257" s="254" t="s">
        <v>286</v>
      </c>
      <c r="B257" s="254" t="s">
        <v>287</v>
      </c>
      <c r="C257" s="250">
        <v>0.32</v>
      </c>
    </row>
    <row r="258" spans="1:3" x14ac:dyDescent="0.2">
      <c r="A258" s="254" t="s">
        <v>152</v>
      </c>
      <c r="B258" s="254" t="s">
        <v>153</v>
      </c>
      <c r="C258" s="250">
        <v>0.31</v>
      </c>
    </row>
    <row r="259" spans="1:3" x14ac:dyDescent="0.2">
      <c r="A259" s="254" t="s">
        <v>290</v>
      </c>
      <c r="B259" s="254" t="s">
        <v>291</v>
      </c>
      <c r="C259" s="250">
        <v>0.2</v>
      </c>
    </row>
    <row r="260" spans="1:3" x14ac:dyDescent="0.2">
      <c r="A260" s="254" t="s">
        <v>276</v>
      </c>
      <c r="B260" s="254" t="s">
        <v>277</v>
      </c>
      <c r="C260" s="250">
        <v>0.19</v>
      </c>
    </row>
    <row r="261" spans="1:3" x14ac:dyDescent="0.2">
      <c r="A261" s="253"/>
      <c r="B261" s="253"/>
      <c r="C261" s="250">
        <f>SUM(C225:C260)</f>
        <v>65633.640000000029</v>
      </c>
    </row>
    <row r="263" spans="1:3" x14ac:dyDescent="0.2">
      <c r="A263" s="255" t="s">
        <v>171</v>
      </c>
      <c r="B263" s="255" t="s">
        <v>134</v>
      </c>
      <c r="C263" s="252">
        <v>40909</v>
      </c>
    </row>
    <row r="264" spans="1:3" x14ac:dyDescent="0.2">
      <c r="A264" s="254" t="s">
        <v>162</v>
      </c>
      <c r="B264" s="254" t="s">
        <v>126</v>
      </c>
      <c r="C264" s="250">
        <v>21687.55</v>
      </c>
    </row>
    <row r="265" spans="1:3" x14ac:dyDescent="0.2">
      <c r="A265" s="254" t="s">
        <v>142</v>
      </c>
      <c r="B265" s="254" t="s">
        <v>121</v>
      </c>
      <c r="C265" s="250">
        <v>622.9</v>
      </c>
    </row>
    <row r="266" spans="1:3" x14ac:dyDescent="0.2">
      <c r="A266" s="254" t="s">
        <v>193</v>
      </c>
      <c r="B266" s="254" t="s">
        <v>194</v>
      </c>
      <c r="C266" s="250">
        <v>577.46</v>
      </c>
    </row>
    <row r="267" spans="1:3" x14ac:dyDescent="0.2">
      <c r="A267" s="254" t="s">
        <v>145</v>
      </c>
      <c r="B267" s="254" t="s">
        <v>146</v>
      </c>
      <c r="C267" s="250">
        <v>480.17</v>
      </c>
    </row>
    <row r="268" spans="1:3" x14ac:dyDescent="0.2">
      <c r="A268" s="254" t="s">
        <v>282</v>
      </c>
      <c r="B268" s="254" t="s">
        <v>283</v>
      </c>
      <c r="C268" s="250">
        <v>467.32</v>
      </c>
    </row>
    <row r="269" spans="1:3" x14ac:dyDescent="0.2">
      <c r="A269" s="254" t="s">
        <v>295</v>
      </c>
      <c r="B269" s="254" t="s">
        <v>296</v>
      </c>
      <c r="C269" s="250">
        <v>263.10000000000002</v>
      </c>
    </row>
    <row r="270" spans="1:3" x14ac:dyDescent="0.2">
      <c r="A270" s="254" t="s">
        <v>207</v>
      </c>
      <c r="B270" s="254" t="s">
        <v>208</v>
      </c>
      <c r="C270" s="250">
        <v>200.23</v>
      </c>
    </row>
    <row r="271" spans="1:3" x14ac:dyDescent="0.2">
      <c r="A271" s="254" t="s">
        <v>164</v>
      </c>
      <c r="B271" s="254" t="s">
        <v>165</v>
      </c>
      <c r="C271" s="250">
        <v>145.65</v>
      </c>
    </row>
    <row r="272" spans="1:3" x14ac:dyDescent="0.2">
      <c r="A272" s="254" t="s">
        <v>264</v>
      </c>
      <c r="B272" s="254" t="s">
        <v>265</v>
      </c>
      <c r="C272" s="250">
        <v>111.7</v>
      </c>
    </row>
    <row r="273" spans="1:3" x14ac:dyDescent="0.2">
      <c r="A273" s="254" t="s">
        <v>140</v>
      </c>
      <c r="B273" s="254" t="s">
        <v>141</v>
      </c>
      <c r="C273" s="250">
        <v>110.1</v>
      </c>
    </row>
    <row r="274" spans="1:3" x14ac:dyDescent="0.2">
      <c r="A274" s="254" t="s">
        <v>156</v>
      </c>
      <c r="B274" s="254" t="s">
        <v>124</v>
      </c>
      <c r="C274" s="250">
        <v>99.72</v>
      </c>
    </row>
    <row r="275" spans="1:3" x14ac:dyDescent="0.2">
      <c r="A275" s="254" t="s">
        <v>166</v>
      </c>
      <c r="B275" s="254" t="s">
        <v>127</v>
      </c>
      <c r="C275" s="250">
        <v>86.34</v>
      </c>
    </row>
    <row r="276" spans="1:3" x14ac:dyDescent="0.2">
      <c r="A276" s="254" t="s">
        <v>268</v>
      </c>
      <c r="B276" s="254" t="s">
        <v>269</v>
      </c>
      <c r="C276" s="250">
        <v>79.44</v>
      </c>
    </row>
    <row r="277" spans="1:3" x14ac:dyDescent="0.2">
      <c r="A277" s="254" t="s">
        <v>169</v>
      </c>
      <c r="B277" s="254" t="s">
        <v>170</v>
      </c>
      <c r="C277" s="250">
        <v>67.03</v>
      </c>
    </row>
    <row r="278" spans="1:3" x14ac:dyDescent="0.2">
      <c r="A278" s="254" t="s">
        <v>266</v>
      </c>
      <c r="B278" s="254" t="s">
        <v>267</v>
      </c>
      <c r="C278" s="250">
        <v>58.4</v>
      </c>
    </row>
    <row r="279" spans="1:3" x14ac:dyDescent="0.2">
      <c r="A279" s="254" t="s">
        <v>148</v>
      </c>
      <c r="B279" s="254" t="s">
        <v>149</v>
      </c>
      <c r="C279" s="250">
        <v>28.85</v>
      </c>
    </row>
    <row r="280" spans="1:3" x14ac:dyDescent="0.2">
      <c r="A280" s="254" t="s">
        <v>143</v>
      </c>
      <c r="B280" s="254" t="s">
        <v>144</v>
      </c>
      <c r="C280" s="250">
        <v>28.52</v>
      </c>
    </row>
    <row r="281" spans="1:3" x14ac:dyDescent="0.2">
      <c r="A281" s="254" t="s">
        <v>272</v>
      </c>
      <c r="B281" s="254" t="s">
        <v>273</v>
      </c>
      <c r="C281" s="250">
        <v>26.03</v>
      </c>
    </row>
    <row r="282" spans="1:3" x14ac:dyDescent="0.2">
      <c r="A282" s="254" t="s">
        <v>226</v>
      </c>
      <c r="B282" s="254" t="s">
        <v>227</v>
      </c>
      <c r="C282" s="250">
        <v>25.46</v>
      </c>
    </row>
    <row r="283" spans="1:3" x14ac:dyDescent="0.2">
      <c r="A283" s="254" t="s">
        <v>228</v>
      </c>
      <c r="B283" s="254" t="s">
        <v>229</v>
      </c>
      <c r="C283" s="250">
        <v>24.41</v>
      </c>
    </row>
    <row r="284" spans="1:3" x14ac:dyDescent="0.2">
      <c r="A284" s="254" t="s">
        <v>274</v>
      </c>
      <c r="B284" s="254" t="s">
        <v>275</v>
      </c>
      <c r="C284" s="250">
        <v>23.61</v>
      </c>
    </row>
    <row r="285" spans="1:3" x14ac:dyDescent="0.2">
      <c r="A285" s="254" t="s">
        <v>201</v>
      </c>
      <c r="B285" s="254" t="s">
        <v>202</v>
      </c>
      <c r="C285" s="250">
        <v>23.29</v>
      </c>
    </row>
    <row r="286" spans="1:3" x14ac:dyDescent="0.2">
      <c r="A286" s="254" t="s">
        <v>160</v>
      </c>
      <c r="B286" s="254" t="s">
        <v>161</v>
      </c>
      <c r="C286" s="250">
        <v>19.989999999999998</v>
      </c>
    </row>
    <row r="287" spans="1:3" x14ac:dyDescent="0.2">
      <c r="A287" s="254" t="s">
        <v>163</v>
      </c>
      <c r="B287" s="254" t="s">
        <v>123</v>
      </c>
      <c r="C287" s="250">
        <v>11.63</v>
      </c>
    </row>
    <row r="288" spans="1:3" x14ac:dyDescent="0.2">
      <c r="A288" s="254" t="s">
        <v>245</v>
      </c>
      <c r="B288" s="254" t="s">
        <v>246</v>
      </c>
      <c r="C288" s="250">
        <v>9.59</v>
      </c>
    </row>
    <row r="289" spans="1:3" x14ac:dyDescent="0.2">
      <c r="A289" s="254" t="s">
        <v>280</v>
      </c>
      <c r="B289" s="254" t="s">
        <v>281</v>
      </c>
      <c r="C289" s="250">
        <v>5.22</v>
      </c>
    </row>
    <row r="290" spans="1:3" x14ac:dyDescent="0.2">
      <c r="A290" s="254" t="s">
        <v>176</v>
      </c>
      <c r="B290" s="254" t="s">
        <v>177</v>
      </c>
      <c r="C290" s="250">
        <v>3.7</v>
      </c>
    </row>
    <row r="291" spans="1:3" x14ac:dyDescent="0.2">
      <c r="A291" s="254" t="s">
        <v>243</v>
      </c>
      <c r="B291" s="254" t="s">
        <v>244</v>
      </c>
      <c r="C291" s="250">
        <v>2.87</v>
      </c>
    </row>
    <row r="292" spans="1:3" x14ac:dyDescent="0.2">
      <c r="A292" s="254" t="s">
        <v>297</v>
      </c>
      <c r="B292" s="254" t="s">
        <v>298</v>
      </c>
      <c r="C292" s="250">
        <v>2.66</v>
      </c>
    </row>
    <row r="293" spans="1:3" x14ac:dyDescent="0.2">
      <c r="A293" s="254" t="s">
        <v>290</v>
      </c>
      <c r="B293" s="254" t="s">
        <v>291</v>
      </c>
      <c r="C293" s="250">
        <v>0.48</v>
      </c>
    </row>
    <row r="294" spans="1:3" x14ac:dyDescent="0.2">
      <c r="A294" s="254" t="s">
        <v>286</v>
      </c>
      <c r="B294" s="254" t="s">
        <v>287</v>
      </c>
      <c r="C294" s="250">
        <v>0.32</v>
      </c>
    </row>
    <row r="295" spans="1:3" x14ac:dyDescent="0.2">
      <c r="A295" s="254" t="s">
        <v>152</v>
      </c>
      <c r="B295" s="254" t="s">
        <v>153</v>
      </c>
      <c r="C295" s="250">
        <v>0.31</v>
      </c>
    </row>
    <row r="296" spans="1:3" x14ac:dyDescent="0.2">
      <c r="A296" s="254" t="s">
        <v>276</v>
      </c>
      <c r="B296" s="254" t="s">
        <v>277</v>
      </c>
      <c r="C296" s="250">
        <v>0.19</v>
      </c>
    </row>
    <row r="297" spans="1:3" x14ac:dyDescent="0.2">
      <c r="A297" s="254" t="s">
        <v>299</v>
      </c>
      <c r="B297" s="254" t="s">
        <v>300</v>
      </c>
      <c r="C297" s="250">
        <v>0.09</v>
      </c>
    </row>
    <row r="298" spans="1:3" x14ac:dyDescent="0.2">
      <c r="A298" s="254" t="s">
        <v>232</v>
      </c>
      <c r="B298" s="254" t="s">
        <v>233</v>
      </c>
      <c r="C298" s="250">
        <v>0.01</v>
      </c>
    </row>
    <row r="299" spans="1:3" x14ac:dyDescent="0.2">
      <c r="A299" s="253"/>
      <c r="B299" s="253"/>
      <c r="C299" s="278">
        <f>SUM(C264:C298)</f>
        <v>25294.339999999997</v>
      </c>
    </row>
    <row r="301" spans="1:3" x14ac:dyDescent="0.2">
      <c r="A301" s="255" t="s">
        <v>171</v>
      </c>
      <c r="B301" s="255" t="s">
        <v>134</v>
      </c>
      <c r="C301" s="252">
        <v>40968</v>
      </c>
    </row>
    <row r="302" spans="1:3" x14ac:dyDescent="0.2">
      <c r="A302" s="254" t="s">
        <v>162</v>
      </c>
      <c r="B302" s="254" t="s">
        <v>126</v>
      </c>
      <c r="C302" s="250">
        <v>21871.38</v>
      </c>
    </row>
    <row r="303" spans="1:3" x14ac:dyDescent="0.2">
      <c r="A303" s="254" t="s">
        <v>301</v>
      </c>
      <c r="B303" s="254" t="s">
        <v>302</v>
      </c>
      <c r="C303" s="250">
        <v>7810</v>
      </c>
    </row>
    <row r="304" spans="1:3" x14ac:dyDescent="0.2">
      <c r="A304" s="254" t="s">
        <v>142</v>
      </c>
      <c r="B304" s="254" t="s">
        <v>121</v>
      </c>
      <c r="C304" s="250">
        <v>2429.44</v>
      </c>
    </row>
    <row r="305" spans="1:3" x14ac:dyDescent="0.2">
      <c r="A305" s="254" t="s">
        <v>232</v>
      </c>
      <c r="B305" s="254" t="s">
        <v>233</v>
      </c>
      <c r="C305" s="250">
        <v>1056.8699999999999</v>
      </c>
    </row>
    <row r="306" spans="1:3" x14ac:dyDescent="0.2">
      <c r="A306" s="254" t="s">
        <v>297</v>
      </c>
      <c r="B306" s="254" t="s">
        <v>298</v>
      </c>
      <c r="C306" s="250">
        <v>872.77</v>
      </c>
    </row>
    <row r="307" spans="1:3" x14ac:dyDescent="0.2">
      <c r="A307" s="254" t="s">
        <v>189</v>
      </c>
      <c r="B307" s="254" t="s">
        <v>190</v>
      </c>
      <c r="C307" s="250">
        <v>806.5</v>
      </c>
    </row>
    <row r="308" spans="1:3" x14ac:dyDescent="0.2">
      <c r="A308" s="254" t="s">
        <v>193</v>
      </c>
      <c r="B308" s="254" t="s">
        <v>194</v>
      </c>
      <c r="C308" s="250">
        <v>780.32</v>
      </c>
    </row>
    <row r="309" spans="1:3" x14ac:dyDescent="0.2">
      <c r="A309" s="254" t="s">
        <v>303</v>
      </c>
      <c r="B309" s="254" t="s">
        <v>304</v>
      </c>
      <c r="C309" s="250">
        <v>498.4</v>
      </c>
    </row>
    <row r="310" spans="1:3" x14ac:dyDescent="0.2">
      <c r="A310" s="254" t="s">
        <v>221</v>
      </c>
      <c r="B310" s="254" t="s">
        <v>128</v>
      </c>
      <c r="C310" s="250">
        <v>481.6</v>
      </c>
    </row>
    <row r="311" spans="1:3" x14ac:dyDescent="0.2">
      <c r="A311" s="254" t="s">
        <v>215</v>
      </c>
      <c r="B311" s="254" t="s">
        <v>216</v>
      </c>
      <c r="C311" s="250">
        <v>306.33999999999997</v>
      </c>
    </row>
    <row r="312" spans="1:3" x14ac:dyDescent="0.2">
      <c r="A312" s="254" t="s">
        <v>207</v>
      </c>
      <c r="B312" s="254" t="s">
        <v>208</v>
      </c>
      <c r="C312" s="250">
        <v>227.61</v>
      </c>
    </row>
    <row r="313" spans="1:3" x14ac:dyDescent="0.2">
      <c r="A313" s="254" t="s">
        <v>305</v>
      </c>
      <c r="B313" s="254" t="s">
        <v>306</v>
      </c>
      <c r="C313" s="250">
        <v>186.1</v>
      </c>
    </row>
    <row r="314" spans="1:3" x14ac:dyDescent="0.2">
      <c r="A314" s="254" t="s">
        <v>164</v>
      </c>
      <c r="B314" s="254" t="s">
        <v>165</v>
      </c>
      <c r="C314" s="250">
        <v>183.58</v>
      </c>
    </row>
    <row r="315" spans="1:3" x14ac:dyDescent="0.2">
      <c r="A315" s="254" t="s">
        <v>307</v>
      </c>
      <c r="B315" s="254" t="s">
        <v>308</v>
      </c>
      <c r="C315" s="250">
        <v>175.9</v>
      </c>
    </row>
    <row r="316" spans="1:3" x14ac:dyDescent="0.2">
      <c r="A316" s="254" t="s">
        <v>309</v>
      </c>
      <c r="B316" s="254" t="s">
        <v>310</v>
      </c>
      <c r="C316" s="250">
        <v>153.06</v>
      </c>
    </row>
    <row r="317" spans="1:3" x14ac:dyDescent="0.2">
      <c r="A317" s="254" t="s">
        <v>311</v>
      </c>
      <c r="B317" s="254" t="s">
        <v>312</v>
      </c>
      <c r="C317" s="250">
        <v>146.6</v>
      </c>
    </row>
    <row r="318" spans="1:3" x14ac:dyDescent="0.2">
      <c r="A318" s="254" t="s">
        <v>262</v>
      </c>
      <c r="B318" s="254" t="s">
        <v>263</v>
      </c>
      <c r="C318" s="250">
        <v>119.62</v>
      </c>
    </row>
    <row r="319" spans="1:3" x14ac:dyDescent="0.2">
      <c r="A319" s="254" t="s">
        <v>174</v>
      </c>
      <c r="B319" s="254" t="s">
        <v>175</v>
      </c>
      <c r="C319" s="250">
        <v>117.3</v>
      </c>
    </row>
    <row r="320" spans="1:3" x14ac:dyDescent="0.2">
      <c r="A320" s="254" t="s">
        <v>313</v>
      </c>
      <c r="B320" s="254" t="s">
        <v>314</v>
      </c>
      <c r="C320" s="250">
        <v>117.3</v>
      </c>
    </row>
    <row r="321" spans="1:3" x14ac:dyDescent="0.2">
      <c r="A321" s="254" t="s">
        <v>157</v>
      </c>
      <c r="B321" s="254" t="s">
        <v>130</v>
      </c>
      <c r="C321" s="250">
        <v>117.3</v>
      </c>
    </row>
    <row r="322" spans="1:3" x14ac:dyDescent="0.2">
      <c r="A322" s="254" t="s">
        <v>315</v>
      </c>
      <c r="B322" s="254" t="s">
        <v>127</v>
      </c>
      <c r="C322" s="250">
        <v>117.3</v>
      </c>
    </row>
    <row r="323" spans="1:3" x14ac:dyDescent="0.2">
      <c r="A323" s="254" t="s">
        <v>264</v>
      </c>
      <c r="B323" s="254" t="s">
        <v>265</v>
      </c>
      <c r="C323" s="250">
        <v>112.79</v>
      </c>
    </row>
    <row r="324" spans="1:3" x14ac:dyDescent="0.2">
      <c r="A324" s="254" t="s">
        <v>268</v>
      </c>
      <c r="B324" s="254" t="s">
        <v>269</v>
      </c>
      <c r="C324" s="250">
        <v>107.37</v>
      </c>
    </row>
    <row r="325" spans="1:3" x14ac:dyDescent="0.2">
      <c r="A325" s="254" t="s">
        <v>156</v>
      </c>
      <c r="B325" s="254" t="s">
        <v>124</v>
      </c>
      <c r="C325" s="250">
        <v>100.68</v>
      </c>
    </row>
    <row r="326" spans="1:3" x14ac:dyDescent="0.2">
      <c r="A326" s="254" t="s">
        <v>169</v>
      </c>
      <c r="B326" s="254" t="s">
        <v>170</v>
      </c>
      <c r="C326" s="250">
        <v>92.69</v>
      </c>
    </row>
    <row r="327" spans="1:3" x14ac:dyDescent="0.2">
      <c r="A327" s="254" t="s">
        <v>166</v>
      </c>
      <c r="B327" s="254" t="s">
        <v>127</v>
      </c>
      <c r="C327" s="250">
        <v>87.14</v>
      </c>
    </row>
    <row r="328" spans="1:3" x14ac:dyDescent="0.2">
      <c r="A328" s="254" t="s">
        <v>266</v>
      </c>
      <c r="B328" s="254" t="s">
        <v>267</v>
      </c>
      <c r="C328" s="250">
        <v>58.4</v>
      </c>
    </row>
    <row r="329" spans="1:3" x14ac:dyDescent="0.2">
      <c r="A329" s="254" t="s">
        <v>148</v>
      </c>
      <c r="B329" s="254" t="s">
        <v>149</v>
      </c>
      <c r="C329" s="250">
        <v>29.14</v>
      </c>
    </row>
    <row r="330" spans="1:3" x14ac:dyDescent="0.2">
      <c r="A330" s="254" t="s">
        <v>272</v>
      </c>
      <c r="B330" s="254" t="s">
        <v>273</v>
      </c>
      <c r="C330" s="250">
        <v>26.29</v>
      </c>
    </row>
    <row r="331" spans="1:3" x14ac:dyDescent="0.2">
      <c r="A331" s="254" t="s">
        <v>274</v>
      </c>
      <c r="B331" s="254" t="s">
        <v>275</v>
      </c>
      <c r="C331" s="250">
        <v>23.84</v>
      </c>
    </row>
    <row r="332" spans="1:3" x14ac:dyDescent="0.2">
      <c r="A332" s="254" t="s">
        <v>201</v>
      </c>
      <c r="B332" s="254" t="s">
        <v>202</v>
      </c>
      <c r="C332" s="250">
        <v>23.51</v>
      </c>
    </row>
    <row r="333" spans="1:3" x14ac:dyDescent="0.2">
      <c r="A333" s="254" t="s">
        <v>316</v>
      </c>
      <c r="B333" s="254" t="s">
        <v>317</v>
      </c>
      <c r="C333" s="250">
        <v>20.51</v>
      </c>
    </row>
    <row r="334" spans="1:3" x14ac:dyDescent="0.2">
      <c r="A334" s="254" t="s">
        <v>160</v>
      </c>
      <c r="B334" s="254" t="s">
        <v>161</v>
      </c>
      <c r="C334" s="250">
        <v>20.190000000000001</v>
      </c>
    </row>
    <row r="335" spans="1:3" x14ac:dyDescent="0.2">
      <c r="A335" s="254" t="s">
        <v>318</v>
      </c>
      <c r="B335" s="254" t="s">
        <v>319</v>
      </c>
      <c r="C335" s="250">
        <v>4.9400000000000004</v>
      </c>
    </row>
    <row r="336" spans="1:3" x14ac:dyDescent="0.2">
      <c r="A336" s="254" t="s">
        <v>286</v>
      </c>
      <c r="B336" s="254" t="s">
        <v>287</v>
      </c>
      <c r="C336" s="250">
        <v>3.8</v>
      </c>
    </row>
    <row r="337" spans="1:3" x14ac:dyDescent="0.2">
      <c r="A337" s="254" t="s">
        <v>176</v>
      </c>
      <c r="B337" s="254" t="s">
        <v>177</v>
      </c>
      <c r="C337" s="250">
        <v>3.7</v>
      </c>
    </row>
    <row r="338" spans="1:3" x14ac:dyDescent="0.2">
      <c r="A338" s="254" t="s">
        <v>226</v>
      </c>
      <c r="B338" s="254" t="s">
        <v>227</v>
      </c>
      <c r="C338" s="250">
        <v>1.04</v>
      </c>
    </row>
    <row r="339" spans="1:3" x14ac:dyDescent="0.2">
      <c r="A339" s="254" t="s">
        <v>152</v>
      </c>
      <c r="B339" s="254" t="s">
        <v>153</v>
      </c>
      <c r="C339" s="250">
        <v>0.31</v>
      </c>
    </row>
    <row r="340" spans="1:3" x14ac:dyDescent="0.2">
      <c r="A340" s="254" t="s">
        <v>299</v>
      </c>
      <c r="B340" s="254" t="s">
        <v>300</v>
      </c>
      <c r="C340" s="250">
        <v>0.09</v>
      </c>
    </row>
    <row r="341" spans="1:3" x14ac:dyDescent="0.2">
      <c r="A341" s="253"/>
      <c r="B341" s="253"/>
      <c r="C341" s="278">
        <f>SUM(C302:C340)</f>
        <v>39291.720000000016</v>
      </c>
    </row>
    <row r="343" spans="1:3" x14ac:dyDescent="0.2">
      <c r="A343" s="255" t="s">
        <v>171</v>
      </c>
      <c r="B343" s="255" t="s">
        <v>134</v>
      </c>
      <c r="C343" s="252">
        <v>40999</v>
      </c>
    </row>
    <row r="344" spans="1:3" x14ac:dyDescent="0.2">
      <c r="A344" s="254"/>
      <c r="B344" s="254" t="s">
        <v>322</v>
      </c>
      <c r="C344" s="250">
        <f>C341-C302</f>
        <v>17420.340000000015</v>
      </c>
    </row>
    <row r="346" spans="1:3" x14ac:dyDescent="0.2">
      <c r="A346" s="255" t="s">
        <v>171</v>
      </c>
      <c r="B346" s="255" t="s">
        <v>134</v>
      </c>
      <c r="C346" s="252">
        <v>41029</v>
      </c>
    </row>
    <row r="347" spans="1:3" x14ac:dyDescent="0.2">
      <c r="A347" s="254"/>
      <c r="B347" s="254" t="s">
        <v>322</v>
      </c>
      <c r="C347" s="250">
        <f>C344</f>
        <v>17420.340000000015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ignoredErrors>
    <ignoredError sqref="C16 C42:C64 C85 C109 C144 C183" formulaRange="1"/>
    <ignoredError sqref="A19:A63 A67:A84 A88:A108 A112:A143 A264:A299" numberStoredAsText="1"/>
  </ignoredErrors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P34"/>
  <sheetViews>
    <sheetView workbookViewId="0">
      <selection sqref="A1:F1"/>
    </sheetView>
  </sheetViews>
  <sheetFormatPr defaultRowHeight="12.75" x14ac:dyDescent="0.2"/>
  <cols>
    <col min="1" max="7" width="10.7109375" customWidth="1"/>
    <col min="9" max="9" width="21.85546875" bestFit="1" customWidth="1"/>
    <col min="10" max="10" width="12.28515625" bestFit="1" customWidth="1"/>
    <col min="11" max="11" width="36.7109375" bestFit="1" customWidth="1"/>
    <col min="12" max="14" width="10.7109375" customWidth="1"/>
    <col min="15" max="15" width="12.28515625" bestFit="1" customWidth="1"/>
    <col min="16" max="16" width="21.7109375" bestFit="1" customWidth="1"/>
  </cols>
  <sheetData>
    <row r="1" spans="1:16" ht="13.5" thickBot="1" x14ac:dyDescent="0.25">
      <c r="A1" s="516" t="s">
        <v>77</v>
      </c>
      <c r="B1" s="517"/>
      <c r="C1" s="517"/>
      <c r="D1" s="517"/>
      <c r="E1" s="517"/>
      <c r="F1" s="518"/>
      <c r="H1" s="516" t="s">
        <v>186</v>
      </c>
      <c r="I1" s="519"/>
      <c r="J1" s="519"/>
      <c r="K1" s="519"/>
      <c r="L1" s="519"/>
      <c r="M1" s="519"/>
      <c r="N1" s="520"/>
    </row>
    <row r="2" spans="1:16" x14ac:dyDescent="0.2">
      <c r="A2" s="504" t="s">
        <v>73</v>
      </c>
      <c r="B2" s="505"/>
      <c r="C2" s="505"/>
      <c r="D2" s="505"/>
      <c r="E2" s="505"/>
      <c r="F2" s="506"/>
      <c r="H2" s="521" t="s">
        <v>73</v>
      </c>
      <c r="I2" s="522"/>
      <c r="J2" s="522"/>
      <c r="K2" s="522"/>
      <c r="L2" s="522"/>
      <c r="M2" s="522"/>
      <c r="N2" s="523"/>
    </row>
    <row r="3" spans="1:16" x14ac:dyDescent="0.2">
      <c r="A3" s="504" t="s">
        <v>74</v>
      </c>
      <c r="B3" s="505"/>
      <c r="C3" s="505"/>
      <c r="D3" s="505"/>
      <c r="E3" s="505"/>
      <c r="F3" s="506"/>
      <c r="H3" s="504" t="s">
        <v>83</v>
      </c>
      <c r="I3" s="507"/>
      <c r="J3" s="507"/>
      <c r="K3" s="507"/>
      <c r="L3" s="507"/>
      <c r="M3" s="507"/>
      <c r="N3" s="508"/>
    </row>
    <row r="4" spans="1:16" x14ac:dyDescent="0.2">
      <c r="A4" s="504" t="s">
        <v>92</v>
      </c>
      <c r="B4" s="505"/>
      <c r="C4" s="505"/>
      <c r="D4" s="505"/>
      <c r="E4" s="505"/>
      <c r="F4" s="506"/>
      <c r="H4" s="504" t="s">
        <v>92</v>
      </c>
      <c r="I4" s="507"/>
      <c r="J4" s="507"/>
      <c r="K4" s="507"/>
      <c r="L4" s="507"/>
      <c r="M4" s="507"/>
      <c r="N4" s="508"/>
    </row>
    <row r="5" spans="1:16" ht="13.5" thickBot="1" x14ac:dyDescent="0.25">
      <c r="A5" s="509" t="s">
        <v>76</v>
      </c>
      <c r="B5" s="510"/>
      <c r="C5" s="510"/>
      <c r="D5" s="510"/>
      <c r="E5" s="510"/>
      <c r="F5" s="511"/>
      <c r="H5" s="509" t="s">
        <v>76</v>
      </c>
      <c r="I5" s="512"/>
      <c r="J5" s="512"/>
      <c r="K5" s="512"/>
      <c r="L5" s="512"/>
      <c r="M5" s="512"/>
      <c r="N5" s="513"/>
    </row>
    <row r="6" spans="1:16" x14ac:dyDescent="0.2">
      <c r="G6" s="211"/>
    </row>
    <row r="8" spans="1:16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  <c r="H8" s="280" t="s">
        <v>32</v>
      </c>
      <c r="I8" s="280" t="s">
        <v>42</v>
      </c>
      <c r="J8" s="280" t="s">
        <v>51</v>
      </c>
      <c r="K8" s="280" t="s">
        <v>57</v>
      </c>
      <c r="L8" s="280" t="s">
        <v>34</v>
      </c>
      <c r="M8" s="280" t="s">
        <v>35</v>
      </c>
      <c r="N8" s="280" t="s">
        <v>103</v>
      </c>
    </row>
    <row r="9" spans="1:16" x14ac:dyDescent="0.2">
      <c r="A9" s="113" t="s">
        <v>180</v>
      </c>
      <c r="B9" s="113" t="s">
        <v>38</v>
      </c>
      <c r="C9" s="113" t="s">
        <v>3</v>
      </c>
      <c r="D9" s="113">
        <v>0</v>
      </c>
      <c r="E9" s="113">
        <v>0</v>
      </c>
      <c r="F9" s="114">
        <v>10052</v>
      </c>
      <c r="H9" s="113" t="s">
        <v>180</v>
      </c>
      <c r="I9" s="113" t="s">
        <v>21</v>
      </c>
      <c r="J9" s="113" t="s">
        <v>21</v>
      </c>
      <c r="K9" s="113" t="s">
        <v>21</v>
      </c>
      <c r="L9" s="114">
        <v>22582</v>
      </c>
      <c r="M9" s="114">
        <v>27728</v>
      </c>
      <c r="N9" s="114">
        <v>80954</v>
      </c>
    </row>
    <row r="10" spans="1:16" x14ac:dyDescent="0.2">
      <c r="A10" s="113" t="s">
        <v>180</v>
      </c>
      <c r="B10" s="113" t="s">
        <v>38</v>
      </c>
      <c r="C10" s="113" t="s">
        <v>41</v>
      </c>
      <c r="D10" s="114">
        <v>91571</v>
      </c>
      <c r="E10" s="114">
        <v>134377</v>
      </c>
      <c r="F10" s="114">
        <v>561576</v>
      </c>
      <c r="G10" s="281"/>
      <c r="H10" s="256" t="s">
        <v>180</v>
      </c>
      <c r="I10" s="256" t="s">
        <v>21</v>
      </c>
      <c r="J10" s="256" t="s">
        <v>52</v>
      </c>
      <c r="K10" s="256" t="s">
        <v>209</v>
      </c>
      <c r="L10" s="256">
        <v>639</v>
      </c>
      <c r="M10" s="257">
        <v>30095</v>
      </c>
      <c r="N10" s="257">
        <v>84197</v>
      </c>
    </row>
    <row r="11" spans="1:16" x14ac:dyDescent="0.2">
      <c r="A11" s="113" t="s">
        <v>180</v>
      </c>
      <c r="B11" s="113" t="s">
        <v>39</v>
      </c>
      <c r="C11" s="113" t="s">
        <v>41</v>
      </c>
      <c r="D11" s="114">
        <v>19841</v>
      </c>
      <c r="E11" s="114">
        <v>22880</v>
      </c>
      <c r="F11" s="114">
        <v>131413</v>
      </c>
      <c r="G11" s="281"/>
      <c r="H11" s="256" t="s">
        <v>180</v>
      </c>
      <c r="I11" s="256" t="s">
        <v>21</v>
      </c>
      <c r="J11" s="256" t="s">
        <v>52</v>
      </c>
      <c r="K11" s="256" t="s">
        <v>178</v>
      </c>
      <c r="L11" s="257">
        <v>25155</v>
      </c>
      <c r="M11" s="257">
        <v>23378</v>
      </c>
      <c r="N11" s="257">
        <v>64859</v>
      </c>
    </row>
    <row r="12" spans="1:16" x14ac:dyDescent="0.2">
      <c r="H12" s="256" t="s">
        <v>180</v>
      </c>
      <c r="I12" s="256" t="s">
        <v>21</v>
      </c>
      <c r="J12" s="256" t="s">
        <v>52</v>
      </c>
      <c r="K12" s="256" t="s">
        <v>210</v>
      </c>
      <c r="L12" s="257">
        <v>1690</v>
      </c>
      <c r="M12" s="257">
        <v>6853</v>
      </c>
      <c r="N12" s="257">
        <v>128164</v>
      </c>
    </row>
    <row r="13" spans="1:16" x14ac:dyDescent="0.2">
      <c r="H13" s="256" t="s">
        <v>180</v>
      </c>
      <c r="I13" s="256" t="s">
        <v>21</v>
      </c>
      <c r="J13" s="256" t="s">
        <v>52</v>
      </c>
      <c r="K13" s="256" t="s">
        <v>72</v>
      </c>
      <c r="L13" s="256">
        <v>515</v>
      </c>
      <c r="M13" s="257">
        <v>15652</v>
      </c>
      <c r="N13" s="256">
        <v>0</v>
      </c>
      <c r="O13" s="282">
        <f>SUM(L10:N13)</f>
        <v>381197</v>
      </c>
      <c r="P13" s="284" t="s">
        <v>52</v>
      </c>
    </row>
    <row r="14" spans="1:16" x14ac:dyDescent="0.2">
      <c r="H14" s="273" t="s">
        <v>180</v>
      </c>
      <c r="I14" s="273" t="s">
        <v>21</v>
      </c>
      <c r="J14" s="273" t="s">
        <v>52</v>
      </c>
      <c r="K14" s="273" t="s">
        <v>240</v>
      </c>
      <c r="L14" s="274">
        <v>5488</v>
      </c>
      <c r="M14" s="274">
        <v>4138</v>
      </c>
      <c r="N14" s="274">
        <v>54000</v>
      </c>
      <c r="O14" s="276">
        <f>SUM(L14:N14)</f>
        <v>63626</v>
      </c>
      <c r="P14" s="285" t="s">
        <v>253</v>
      </c>
    </row>
    <row r="15" spans="1:16" x14ac:dyDescent="0.2">
      <c r="H15" s="260" t="s">
        <v>180</v>
      </c>
      <c r="I15" s="260" t="s">
        <v>21</v>
      </c>
      <c r="J15" s="260" t="s">
        <v>55</v>
      </c>
      <c r="K15" s="260" t="s">
        <v>182</v>
      </c>
      <c r="L15" s="260">
        <v>117</v>
      </c>
      <c r="M15" s="260">
        <v>0</v>
      </c>
      <c r="N15" s="260">
        <v>178</v>
      </c>
    </row>
    <row r="16" spans="1:16" x14ac:dyDescent="0.2">
      <c r="A16" s="59" t="s">
        <v>79</v>
      </c>
      <c r="B16" s="204" t="s">
        <v>80</v>
      </c>
      <c r="D16" s="205" t="s">
        <v>184</v>
      </c>
      <c r="E16" s="206"/>
      <c r="F16" s="207" t="s">
        <v>185</v>
      </c>
      <c r="H16" s="260" t="s">
        <v>180</v>
      </c>
      <c r="I16" s="260" t="s">
        <v>21</v>
      </c>
      <c r="J16" s="260" t="s">
        <v>55</v>
      </c>
      <c r="K16" s="260" t="s">
        <v>89</v>
      </c>
      <c r="L16" s="260">
        <v>0</v>
      </c>
      <c r="M16" s="260">
        <v>0</v>
      </c>
      <c r="N16" s="261">
        <v>2420</v>
      </c>
    </row>
    <row r="17" spans="1:16" x14ac:dyDescent="0.2">
      <c r="A17" s="58" t="s">
        <v>38</v>
      </c>
      <c r="B17" s="209">
        <f>SUM(D10:F10)</f>
        <v>787524</v>
      </c>
      <c r="D17" s="514" t="s">
        <v>81</v>
      </c>
      <c r="E17" s="515"/>
      <c r="F17" s="98">
        <f>O13/B21</f>
        <v>0.38538601495127528</v>
      </c>
      <c r="H17" s="260" t="s">
        <v>180</v>
      </c>
      <c r="I17" s="260" t="s">
        <v>21</v>
      </c>
      <c r="J17" s="260" t="s">
        <v>55</v>
      </c>
      <c r="K17" s="260" t="s">
        <v>54</v>
      </c>
      <c r="L17" s="260">
        <v>0</v>
      </c>
      <c r="M17" s="260">
        <v>861</v>
      </c>
      <c r="N17" s="261">
        <v>4499</v>
      </c>
    </row>
    <row r="18" spans="1:16" x14ac:dyDescent="0.2">
      <c r="A18" s="58" t="s">
        <v>39</v>
      </c>
      <c r="B18" s="209">
        <f>SUM(D11:F11)</f>
        <v>174134</v>
      </c>
      <c r="D18" s="503" t="s">
        <v>253</v>
      </c>
      <c r="E18" s="505"/>
      <c r="F18" s="98">
        <f>O14/B21</f>
        <v>6.4325192977095422E-2</v>
      </c>
      <c r="H18" s="260" t="s">
        <v>180</v>
      </c>
      <c r="I18" s="260" t="s">
        <v>21</v>
      </c>
      <c r="J18" s="260" t="s">
        <v>55</v>
      </c>
      <c r="K18" s="260" t="s">
        <v>67</v>
      </c>
      <c r="L18" s="260">
        <v>298</v>
      </c>
      <c r="M18" s="260">
        <v>846</v>
      </c>
      <c r="N18" s="261">
        <v>6328</v>
      </c>
    </row>
    <row r="19" spans="1:16" x14ac:dyDescent="0.2">
      <c r="A19" s="58" t="s">
        <v>2</v>
      </c>
      <c r="B19" s="218">
        <f>'Sundry Debtors'!C344</f>
        <v>17420.340000000015</v>
      </c>
      <c r="C19" s="58"/>
      <c r="D19" s="58" t="s">
        <v>78</v>
      </c>
      <c r="F19" s="64">
        <f>O21/B21</f>
        <v>5.7375653849623093E-2</v>
      </c>
      <c r="H19" s="260" t="s">
        <v>180</v>
      </c>
      <c r="I19" s="260" t="s">
        <v>21</v>
      </c>
      <c r="J19" s="260" t="s">
        <v>55</v>
      </c>
      <c r="K19" s="260" t="s">
        <v>68</v>
      </c>
      <c r="L19" s="260">
        <v>520</v>
      </c>
      <c r="M19" s="260">
        <v>0</v>
      </c>
      <c r="N19" s="260">
        <v>826</v>
      </c>
    </row>
    <row r="20" spans="1:16" x14ac:dyDescent="0.2">
      <c r="A20" s="58" t="s">
        <v>3</v>
      </c>
      <c r="B20" s="209">
        <f>SUM(D9:F9)</f>
        <v>10052</v>
      </c>
      <c r="D20" s="503" t="s">
        <v>42</v>
      </c>
      <c r="E20" s="503"/>
      <c r="F20" s="219">
        <f>O34/B21</f>
        <v>0.34259488997173015</v>
      </c>
      <c r="H20" s="260" t="s">
        <v>180</v>
      </c>
      <c r="I20" s="260" t="s">
        <v>21</v>
      </c>
      <c r="J20" s="260" t="s">
        <v>55</v>
      </c>
      <c r="K20" s="260" t="s">
        <v>183</v>
      </c>
      <c r="L20" s="261">
        <v>1662</v>
      </c>
      <c r="M20" s="261">
        <v>2667</v>
      </c>
      <c r="N20" s="261">
        <v>15095</v>
      </c>
    </row>
    <row r="21" spans="1:16" ht="13.5" thickBot="1" x14ac:dyDescent="0.25">
      <c r="A21" s="4"/>
      <c r="B21" s="210">
        <f>SUM(B17:B20)</f>
        <v>989130.34</v>
      </c>
      <c r="D21" s="58"/>
      <c r="F21" s="208">
        <f>SUM(F17:F20)</f>
        <v>0.84968175174972393</v>
      </c>
      <c r="H21" s="260" t="s">
        <v>180</v>
      </c>
      <c r="I21" s="260" t="s">
        <v>21</v>
      </c>
      <c r="J21" s="260" t="s">
        <v>55</v>
      </c>
      <c r="K21" s="260" t="s">
        <v>72</v>
      </c>
      <c r="L21" s="261">
        <v>9121</v>
      </c>
      <c r="M21" s="261">
        <v>1561</v>
      </c>
      <c r="N21" s="261">
        <v>9753</v>
      </c>
      <c r="O21" s="269">
        <f>SUM(L15:N21)</f>
        <v>56752</v>
      </c>
      <c r="P21" s="286" t="s">
        <v>85</v>
      </c>
    </row>
    <row r="22" spans="1:16" x14ac:dyDescent="0.2">
      <c r="D22" s="58"/>
      <c r="H22" s="258" t="s">
        <v>180</v>
      </c>
      <c r="I22" s="258" t="s">
        <v>43</v>
      </c>
      <c r="J22" s="258" t="s">
        <v>21</v>
      </c>
      <c r="K22" s="258" t="s">
        <v>21</v>
      </c>
      <c r="L22" s="259">
        <v>13752</v>
      </c>
      <c r="M22" s="259">
        <v>16776</v>
      </c>
      <c r="N22" s="259">
        <v>63902</v>
      </c>
    </row>
    <row r="23" spans="1:16" x14ac:dyDescent="0.2">
      <c r="D23" s="58"/>
      <c r="H23" s="258" t="s">
        <v>180</v>
      </c>
      <c r="I23" s="258" t="s">
        <v>43</v>
      </c>
      <c r="J23" s="258" t="s">
        <v>52</v>
      </c>
      <c r="K23" s="258" t="s">
        <v>178</v>
      </c>
      <c r="L23" s="258">
        <v>233</v>
      </c>
      <c r="M23" s="258">
        <v>516</v>
      </c>
      <c r="N23" s="258">
        <v>419</v>
      </c>
    </row>
    <row r="24" spans="1:16" x14ac:dyDescent="0.2">
      <c r="D24" s="58"/>
      <c r="H24" s="258" t="s">
        <v>180</v>
      </c>
      <c r="I24" s="258" t="s">
        <v>43</v>
      </c>
      <c r="J24" s="258" t="s">
        <v>52</v>
      </c>
      <c r="K24" s="258" t="s">
        <v>210</v>
      </c>
      <c r="L24" s="258">
        <v>0</v>
      </c>
      <c r="M24" s="258">
        <v>0</v>
      </c>
      <c r="N24" s="259">
        <v>5048</v>
      </c>
    </row>
    <row r="25" spans="1:16" x14ac:dyDescent="0.2">
      <c r="H25" s="258" t="s">
        <v>180</v>
      </c>
      <c r="I25" s="258" t="s">
        <v>43</v>
      </c>
      <c r="J25" s="258" t="s">
        <v>52</v>
      </c>
      <c r="K25" s="258" t="s">
        <v>240</v>
      </c>
      <c r="L25" s="258">
        <v>196</v>
      </c>
      <c r="M25" s="258">
        <v>0</v>
      </c>
      <c r="N25" s="259">
        <v>1339</v>
      </c>
    </row>
    <row r="26" spans="1:16" x14ac:dyDescent="0.2">
      <c r="H26" s="258" t="s">
        <v>180</v>
      </c>
      <c r="I26" s="258" t="s">
        <v>43</v>
      </c>
      <c r="J26" s="258" t="s">
        <v>55</v>
      </c>
      <c r="K26" s="258" t="s">
        <v>72</v>
      </c>
      <c r="L26" s="258">
        <v>319</v>
      </c>
      <c r="M26" s="258">
        <v>228</v>
      </c>
      <c r="N26" s="259">
        <v>6770</v>
      </c>
    </row>
    <row r="27" spans="1:16" x14ac:dyDescent="0.2">
      <c r="H27" s="258" t="s">
        <v>180</v>
      </c>
      <c r="I27" s="258" t="s">
        <v>45</v>
      </c>
      <c r="J27" s="258" t="s">
        <v>21</v>
      </c>
      <c r="K27" s="258" t="s">
        <v>21</v>
      </c>
      <c r="L27" s="259">
        <v>19049</v>
      </c>
      <c r="M27" s="259">
        <v>13866</v>
      </c>
      <c r="N27" s="259">
        <v>122631</v>
      </c>
    </row>
    <row r="28" spans="1:16" x14ac:dyDescent="0.2">
      <c r="H28" s="258" t="s">
        <v>180</v>
      </c>
      <c r="I28" s="258" t="s">
        <v>45</v>
      </c>
      <c r="J28" s="258" t="s">
        <v>52</v>
      </c>
      <c r="K28" s="258" t="s">
        <v>178</v>
      </c>
      <c r="L28" s="258">
        <v>0</v>
      </c>
      <c r="M28" s="258">
        <v>110</v>
      </c>
      <c r="N28" s="258">
        <v>0</v>
      </c>
    </row>
    <row r="29" spans="1:16" x14ac:dyDescent="0.2">
      <c r="H29" s="258" t="s">
        <v>180</v>
      </c>
      <c r="I29" s="258" t="s">
        <v>45</v>
      </c>
      <c r="J29" s="258" t="s">
        <v>55</v>
      </c>
      <c r="K29" s="258" t="s">
        <v>72</v>
      </c>
      <c r="L29" s="258">
        <v>0</v>
      </c>
      <c r="M29" s="258">
        <v>61</v>
      </c>
      <c r="N29" s="259">
        <v>1880</v>
      </c>
    </row>
    <row r="30" spans="1:16" x14ac:dyDescent="0.2">
      <c r="H30" s="258" t="s">
        <v>180</v>
      </c>
      <c r="I30" s="258" t="s">
        <v>46</v>
      </c>
      <c r="J30" s="258" t="s">
        <v>21</v>
      </c>
      <c r="K30" s="258" t="s">
        <v>21</v>
      </c>
      <c r="L30" s="259">
        <v>6816</v>
      </c>
      <c r="M30" s="259">
        <v>7886</v>
      </c>
      <c r="N30" s="259">
        <v>40674</v>
      </c>
    </row>
    <row r="31" spans="1:16" x14ac:dyDescent="0.2">
      <c r="G31" s="4"/>
      <c r="H31" s="258" t="s">
        <v>180</v>
      </c>
      <c r="I31" s="258" t="s">
        <v>47</v>
      </c>
      <c r="J31" s="258" t="s">
        <v>21</v>
      </c>
      <c r="K31" s="258" t="s">
        <v>21</v>
      </c>
      <c r="L31" s="258">
        <v>0</v>
      </c>
      <c r="M31" s="258">
        <v>0</v>
      </c>
      <c r="N31" s="258">
        <v>0</v>
      </c>
    </row>
    <row r="32" spans="1:16" x14ac:dyDescent="0.2">
      <c r="H32" s="258" t="s">
        <v>180</v>
      </c>
      <c r="I32" s="258" t="s">
        <v>50</v>
      </c>
      <c r="J32" s="258" t="s">
        <v>21</v>
      </c>
      <c r="K32" s="258" t="s">
        <v>21</v>
      </c>
      <c r="L32" s="259">
        <v>3138</v>
      </c>
      <c r="M32" s="259">
        <v>3828</v>
      </c>
      <c r="N32" s="259">
        <v>8371</v>
      </c>
    </row>
    <row r="33" spans="8:16" x14ac:dyDescent="0.2">
      <c r="H33" s="258" t="s">
        <v>180</v>
      </c>
      <c r="I33" s="258" t="s">
        <v>50</v>
      </c>
      <c r="J33" s="258" t="s">
        <v>52</v>
      </c>
      <c r="K33" s="258" t="s">
        <v>178</v>
      </c>
      <c r="L33" s="258">
        <v>119</v>
      </c>
      <c r="M33" s="258">
        <v>206</v>
      </c>
      <c r="N33" s="258">
        <v>323</v>
      </c>
    </row>
    <row r="34" spans="8:16" x14ac:dyDescent="0.2">
      <c r="H34" s="258" t="s">
        <v>180</v>
      </c>
      <c r="I34" s="258" t="s">
        <v>50</v>
      </c>
      <c r="J34" s="258" t="s">
        <v>52</v>
      </c>
      <c r="K34" s="258" t="s">
        <v>72</v>
      </c>
      <c r="L34" s="258">
        <v>0</v>
      </c>
      <c r="M34" s="258">
        <v>0</v>
      </c>
      <c r="N34" s="258">
        <v>415</v>
      </c>
      <c r="O34" s="283">
        <f>SUM(L22:N34)</f>
        <v>338871</v>
      </c>
      <c r="P34" s="287" t="s">
        <v>84</v>
      </c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P31"/>
  <sheetViews>
    <sheetView workbookViewId="0">
      <selection sqref="A1:F1"/>
    </sheetView>
  </sheetViews>
  <sheetFormatPr defaultRowHeight="12.75" x14ac:dyDescent="0.2"/>
  <cols>
    <col min="1" max="7" width="10.7109375" customWidth="1"/>
    <col min="9" max="9" width="21.85546875" bestFit="1" customWidth="1"/>
    <col min="10" max="10" width="12.28515625" bestFit="1" customWidth="1"/>
    <col min="11" max="11" width="36.7109375" bestFit="1" customWidth="1"/>
    <col min="12" max="14" width="10.7109375" customWidth="1"/>
    <col min="15" max="15" width="12.28515625" bestFit="1" customWidth="1"/>
    <col min="16" max="16" width="21.7109375" bestFit="1" customWidth="1"/>
  </cols>
  <sheetData>
    <row r="1" spans="1:16" ht="13.5" thickBot="1" x14ac:dyDescent="0.25">
      <c r="A1" s="516" t="s">
        <v>77</v>
      </c>
      <c r="B1" s="517"/>
      <c r="C1" s="517"/>
      <c r="D1" s="517"/>
      <c r="E1" s="517"/>
      <c r="F1" s="518"/>
      <c r="H1" s="516" t="s">
        <v>186</v>
      </c>
      <c r="I1" s="519"/>
      <c r="J1" s="519"/>
      <c r="K1" s="519"/>
      <c r="L1" s="519"/>
      <c r="M1" s="519"/>
      <c r="N1" s="520"/>
    </row>
    <row r="2" spans="1:16" x14ac:dyDescent="0.2">
      <c r="A2" s="504" t="s">
        <v>73</v>
      </c>
      <c r="B2" s="505"/>
      <c r="C2" s="505"/>
      <c r="D2" s="505"/>
      <c r="E2" s="505"/>
      <c r="F2" s="506"/>
      <c r="H2" s="521" t="s">
        <v>73</v>
      </c>
      <c r="I2" s="522"/>
      <c r="J2" s="522"/>
      <c r="K2" s="522"/>
      <c r="L2" s="522"/>
      <c r="M2" s="522"/>
      <c r="N2" s="523"/>
    </row>
    <row r="3" spans="1:16" x14ac:dyDescent="0.2">
      <c r="A3" s="504" t="s">
        <v>74</v>
      </c>
      <c r="B3" s="505"/>
      <c r="C3" s="505"/>
      <c r="D3" s="505"/>
      <c r="E3" s="505"/>
      <c r="F3" s="506"/>
      <c r="H3" s="504" t="s">
        <v>83</v>
      </c>
      <c r="I3" s="507"/>
      <c r="J3" s="507"/>
      <c r="K3" s="507"/>
      <c r="L3" s="507"/>
      <c r="M3" s="507"/>
      <c r="N3" s="508"/>
    </row>
    <row r="4" spans="1:16" x14ac:dyDescent="0.2">
      <c r="A4" s="504" t="s">
        <v>92</v>
      </c>
      <c r="B4" s="505"/>
      <c r="C4" s="505"/>
      <c r="D4" s="505"/>
      <c r="E4" s="505"/>
      <c r="F4" s="506"/>
      <c r="H4" s="504" t="s">
        <v>92</v>
      </c>
      <c r="I4" s="507"/>
      <c r="J4" s="507"/>
      <c r="K4" s="507"/>
      <c r="L4" s="507"/>
      <c r="M4" s="507"/>
      <c r="N4" s="508"/>
    </row>
    <row r="5" spans="1:16" ht="13.5" thickBot="1" x14ac:dyDescent="0.25">
      <c r="A5" s="509" t="s">
        <v>76</v>
      </c>
      <c r="B5" s="510"/>
      <c r="C5" s="510"/>
      <c r="D5" s="510"/>
      <c r="E5" s="510"/>
      <c r="F5" s="511"/>
      <c r="H5" s="509" t="s">
        <v>76</v>
      </c>
      <c r="I5" s="512"/>
      <c r="J5" s="512"/>
      <c r="K5" s="512"/>
      <c r="L5" s="512"/>
      <c r="M5" s="512"/>
      <c r="N5" s="513"/>
    </row>
    <row r="6" spans="1:16" x14ac:dyDescent="0.2">
      <c r="G6" s="211"/>
    </row>
    <row r="7" spans="1:16" x14ac:dyDescent="0.2">
      <c r="H7" s="200" t="s">
        <v>32</v>
      </c>
      <c r="I7" s="200" t="s">
        <v>42</v>
      </c>
      <c r="J7" s="200" t="s">
        <v>51</v>
      </c>
      <c r="K7" s="200" t="s">
        <v>57</v>
      </c>
      <c r="L7" s="200" t="s">
        <v>34</v>
      </c>
      <c r="M7" s="200" t="s">
        <v>35</v>
      </c>
      <c r="N7" s="200" t="s">
        <v>103</v>
      </c>
    </row>
    <row r="8" spans="1:16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  <c r="H8" s="113" t="s">
        <v>180</v>
      </c>
      <c r="I8" s="113" t="s">
        <v>21</v>
      </c>
      <c r="J8" s="113" t="s">
        <v>21</v>
      </c>
      <c r="K8" s="113" t="s">
        <v>21</v>
      </c>
      <c r="L8" s="114">
        <v>42560</v>
      </c>
      <c r="M8" s="114">
        <v>12063</v>
      </c>
      <c r="N8" s="114">
        <v>75790</v>
      </c>
    </row>
    <row r="9" spans="1:16" x14ac:dyDescent="0.2">
      <c r="A9" s="113" t="s">
        <v>180</v>
      </c>
      <c r="B9" s="113" t="s">
        <v>38</v>
      </c>
      <c r="C9" s="113" t="s">
        <v>3</v>
      </c>
      <c r="D9" s="113">
        <v>0</v>
      </c>
      <c r="E9" s="113">
        <v>570</v>
      </c>
      <c r="F9" s="114">
        <v>9809</v>
      </c>
      <c r="H9" s="256" t="s">
        <v>180</v>
      </c>
      <c r="I9" s="256" t="s">
        <v>21</v>
      </c>
      <c r="J9" s="256" t="s">
        <v>52</v>
      </c>
      <c r="K9" s="256" t="s">
        <v>209</v>
      </c>
      <c r="L9" s="257">
        <v>31771</v>
      </c>
      <c r="M9" s="256">
        <v>854</v>
      </c>
      <c r="N9" s="257">
        <v>80018</v>
      </c>
      <c r="O9" s="63"/>
      <c r="P9" s="63"/>
    </row>
    <row r="10" spans="1:16" x14ac:dyDescent="0.2">
      <c r="A10" s="113" t="s">
        <v>180</v>
      </c>
      <c r="B10" s="113" t="s">
        <v>38</v>
      </c>
      <c r="C10" s="113" t="s">
        <v>41</v>
      </c>
      <c r="D10" s="114">
        <v>175915</v>
      </c>
      <c r="E10" s="114">
        <v>31554</v>
      </c>
      <c r="F10" s="114">
        <v>574401</v>
      </c>
      <c r="H10" s="256" t="s">
        <v>180</v>
      </c>
      <c r="I10" s="256" t="s">
        <v>21</v>
      </c>
      <c r="J10" s="256" t="s">
        <v>52</v>
      </c>
      <c r="K10" s="256" t="s">
        <v>178</v>
      </c>
      <c r="L10" s="257">
        <v>29297</v>
      </c>
      <c r="M10" s="257">
        <v>3696</v>
      </c>
      <c r="N10" s="257">
        <v>80063</v>
      </c>
      <c r="O10" s="63"/>
      <c r="P10" s="63"/>
    </row>
    <row r="11" spans="1:16" x14ac:dyDescent="0.2">
      <c r="A11" s="113" t="s">
        <v>180</v>
      </c>
      <c r="B11" s="113" t="s">
        <v>39</v>
      </c>
      <c r="C11" s="113" t="s">
        <v>41</v>
      </c>
      <c r="D11" s="114">
        <v>31800</v>
      </c>
      <c r="E11" s="114">
        <v>8046</v>
      </c>
      <c r="F11" s="114">
        <v>134749</v>
      </c>
      <c r="H11" s="256" t="s">
        <v>180</v>
      </c>
      <c r="I11" s="256" t="s">
        <v>21</v>
      </c>
      <c r="J11" s="256" t="s">
        <v>52</v>
      </c>
      <c r="K11" s="256" t="s">
        <v>210</v>
      </c>
      <c r="L11" s="257">
        <v>7481</v>
      </c>
      <c r="M11" s="257">
        <v>1781</v>
      </c>
      <c r="N11" s="257">
        <v>135487</v>
      </c>
      <c r="O11" s="63"/>
      <c r="P11" s="63"/>
    </row>
    <row r="12" spans="1:16" x14ac:dyDescent="0.2">
      <c r="H12" s="256" t="s">
        <v>180</v>
      </c>
      <c r="I12" s="256" t="s">
        <v>21</v>
      </c>
      <c r="J12" s="256" t="s">
        <v>52</v>
      </c>
      <c r="K12" s="256" t="s">
        <v>72</v>
      </c>
      <c r="L12" s="257">
        <v>15932</v>
      </c>
      <c r="M12" s="256">
        <v>0</v>
      </c>
      <c r="N12" s="256">
        <v>187</v>
      </c>
      <c r="O12" s="265">
        <f>SUM(L9:N12)</f>
        <v>386567</v>
      </c>
      <c r="P12" s="265" t="s">
        <v>135</v>
      </c>
    </row>
    <row r="13" spans="1:16" x14ac:dyDescent="0.2">
      <c r="H13" s="273" t="s">
        <v>180</v>
      </c>
      <c r="I13" s="273" t="s">
        <v>21</v>
      </c>
      <c r="J13" s="273" t="s">
        <v>52</v>
      </c>
      <c r="K13" s="273" t="s">
        <v>240</v>
      </c>
      <c r="L13" s="274">
        <v>3515</v>
      </c>
      <c r="M13" s="274">
        <v>1710</v>
      </c>
      <c r="N13" s="274">
        <v>38725</v>
      </c>
      <c r="O13" s="279">
        <f>SUM(L13:N13)</f>
        <v>43950</v>
      </c>
      <c r="P13" s="279" t="s">
        <v>320</v>
      </c>
    </row>
    <row r="14" spans="1:16" x14ac:dyDescent="0.2">
      <c r="H14" s="260" t="s">
        <v>180</v>
      </c>
      <c r="I14" s="260" t="s">
        <v>21</v>
      </c>
      <c r="J14" s="260" t="s">
        <v>55</v>
      </c>
      <c r="K14" s="260" t="s">
        <v>182</v>
      </c>
      <c r="L14" s="260">
        <v>324</v>
      </c>
      <c r="M14" s="260">
        <v>0</v>
      </c>
      <c r="N14" s="261">
        <v>18373</v>
      </c>
      <c r="O14" s="63"/>
      <c r="P14" s="63"/>
    </row>
    <row r="15" spans="1:16" x14ac:dyDescent="0.2">
      <c r="H15" s="260" t="s">
        <v>180</v>
      </c>
      <c r="I15" s="260" t="s">
        <v>21</v>
      </c>
      <c r="J15" s="260" t="s">
        <v>55</v>
      </c>
      <c r="K15" s="260" t="s">
        <v>65</v>
      </c>
      <c r="L15" s="260">
        <v>0</v>
      </c>
      <c r="M15" s="260">
        <v>0</v>
      </c>
      <c r="N15" s="261">
        <v>178</v>
      </c>
      <c r="O15" s="63"/>
      <c r="P15" s="63"/>
    </row>
    <row r="16" spans="1:16" x14ac:dyDescent="0.2">
      <c r="A16" s="59" t="s">
        <v>79</v>
      </c>
      <c r="B16" s="204" t="s">
        <v>80</v>
      </c>
      <c r="D16" s="205" t="s">
        <v>184</v>
      </c>
      <c r="E16" s="206"/>
      <c r="F16" s="207" t="s">
        <v>185</v>
      </c>
      <c r="H16" s="260" t="s">
        <v>180</v>
      </c>
      <c r="I16" s="260" t="s">
        <v>21</v>
      </c>
      <c r="J16" s="260" t="s">
        <v>55</v>
      </c>
      <c r="K16" s="260" t="s">
        <v>89</v>
      </c>
      <c r="L16" s="260">
        <v>458</v>
      </c>
      <c r="M16" s="260">
        <v>0</v>
      </c>
      <c r="N16" s="261">
        <v>2015</v>
      </c>
      <c r="O16" s="63"/>
      <c r="P16" s="63"/>
    </row>
    <row r="17" spans="1:16" x14ac:dyDescent="0.2">
      <c r="A17" s="58" t="s">
        <v>38</v>
      </c>
      <c r="B17" s="209">
        <f>SUM(D10:F10)</f>
        <v>781870</v>
      </c>
      <c r="D17" s="514" t="s">
        <v>81</v>
      </c>
      <c r="E17" s="515"/>
      <c r="F17" s="98">
        <f>(O12+'Sundry Debtors'!C302)/'Notes - Feb12'!B21</f>
        <v>0.40594759919665713</v>
      </c>
      <c r="H17" s="260" t="s">
        <v>180</v>
      </c>
      <c r="I17" s="260" t="s">
        <v>21</v>
      </c>
      <c r="J17" s="260" t="s">
        <v>55</v>
      </c>
      <c r="K17" s="260" t="s">
        <v>54</v>
      </c>
      <c r="L17" s="261">
        <v>200</v>
      </c>
      <c r="M17" s="260">
        <v>0</v>
      </c>
      <c r="N17" s="261">
        <v>53</v>
      </c>
      <c r="O17" s="217"/>
      <c r="P17" s="217"/>
    </row>
    <row r="18" spans="1:16" x14ac:dyDescent="0.2">
      <c r="A18" s="58" t="s">
        <v>39</v>
      </c>
      <c r="B18" s="209">
        <f>SUM(D11:F11)</f>
        <v>174595</v>
      </c>
      <c r="D18" s="503" t="s">
        <v>253</v>
      </c>
      <c r="E18" s="505"/>
      <c r="F18" s="98">
        <f>O13/B21</f>
        <v>4.3681979604103513E-2</v>
      </c>
      <c r="H18" s="260" t="s">
        <v>180</v>
      </c>
      <c r="I18" s="260" t="s">
        <v>21</v>
      </c>
      <c r="J18" s="260" t="s">
        <v>55</v>
      </c>
      <c r="K18" s="260" t="s">
        <v>66</v>
      </c>
      <c r="L18" s="260">
        <v>275</v>
      </c>
      <c r="M18" s="260">
        <v>11</v>
      </c>
      <c r="N18" s="261">
        <v>1075</v>
      </c>
      <c r="O18" s="63"/>
      <c r="P18" s="63"/>
    </row>
    <row r="19" spans="1:16" x14ac:dyDescent="0.2">
      <c r="A19" s="58" t="s">
        <v>2</v>
      </c>
      <c r="B19" s="218">
        <f>'Sundry Debtors'!C341</f>
        <v>39291.720000000016</v>
      </c>
      <c r="C19" s="58"/>
      <c r="D19" s="58" t="s">
        <v>78</v>
      </c>
      <c r="F19" s="64">
        <f>O22/B21</f>
        <v>7.9800367290408888E-2</v>
      </c>
      <c r="H19" s="260" t="s">
        <v>180</v>
      </c>
      <c r="I19" s="260" t="s">
        <v>21</v>
      </c>
      <c r="J19" s="260" t="s">
        <v>55</v>
      </c>
      <c r="K19" s="260" t="s">
        <v>67</v>
      </c>
      <c r="L19" s="261">
        <v>0</v>
      </c>
      <c r="M19" s="261">
        <v>0</v>
      </c>
      <c r="N19" s="261">
        <v>183</v>
      </c>
      <c r="O19" s="63"/>
      <c r="P19" s="63"/>
    </row>
    <row r="20" spans="1:16" x14ac:dyDescent="0.2">
      <c r="A20" s="58" t="s">
        <v>3</v>
      </c>
      <c r="B20" s="209">
        <f>SUM(D9:F9)</f>
        <v>10379</v>
      </c>
      <c r="D20" s="503" t="s">
        <v>42</v>
      </c>
      <c r="E20" s="503"/>
      <c r="F20" s="219">
        <f>O29/B21</f>
        <v>0.32364222194596171</v>
      </c>
      <c r="H20" s="260" t="s">
        <v>180</v>
      </c>
      <c r="I20" s="260" t="s">
        <v>21</v>
      </c>
      <c r="J20" s="260" t="s">
        <v>55</v>
      </c>
      <c r="K20" s="260" t="s">
        <v>68</v>
      </c>
      <c r="L20" s="261">
        <v>711</v>
      </c>
      <c r="M20" s="260">
        <v>0</v>
      </c>
      <c r="N20" s="261">
        <v>1311</v>
      </c>
      <c r="O20" s="63"/>
      <c r="P20" s="63"/>
    </row>
    <row r="21" spans="1:16" ht="13.5" thickBot="1" x14ac:dyDescent="0.25">
      <c r="A21" s="4"/>
      <c r="B21" s="210">
        <f>SUM(B17:B20)</f>
        <v>1006135.72</v>
      </c>
      <c r="D21" s="58"/>
      <c r="F21" s="208">
        <f>SUM(F17:F20)</f>
        <v>0.85307216803713126</v>
      </c>
      <c r="H21" s="260" t="s">
        <v>180</v>
      </c>
      <c r="I21" s="260" t="s">
        <v>21</v>
      </c>
      <c r="J21" s="260" t="s">
        <v>55</v>
      </c>
      <c r="K21" s="260" t="s">
        <v>183</v>
      </c>
      <c r="L21" s="261">
        <v>5509</v>
      </c>
      <c r="M21" s="261">
        <v>499</v>
      </c>
      <c r="N21" s="261">
        <v>25943</v>
      </c>
      <c r="O21" s="63"/>
      <c r="P21" s="63"/>
    </row>
    <row r="22" spans="1:16" x14ac:dyDescent="0.2">
      <c r="D22" s="58"/>
      <c r="H22" s="260" t="s">
        <v>180</v>
      </c>
      <c r="I22" s="260" t="s">
        <v>21</v>
      </c>
      <c r="J22" s="260" t="s">
        <v>55</v>
      </c>
      <c r="K22" s="260" t="s">
        <v>72</v>
      </c>
      <c r="L22" s="261">
        <v>1714</v>
      </c>
      <c r="M22" s="260">
        <v>199</v>
      </c>
      <c r="N22" s="261">
        <v>21259</v>
      </c>
      <c r="O22" s="266">
        <f>SUM(L14:N22)</f>
        <v>80290</v>
      </c>
      <c r="P22" s="266" t="s">
        <v>293</v>
      </c>
    </row>
    <row r="23" spans="1:16" x14ac:dyDescent="0.2">
      <c r="D23" s="58"/>
      <c r="H23" s="258" t="s">
        <v>180</v>
      </c>
      <c r="I23" s="258" t="s">
        <v>43</v>
      </c>
      <c r="J23" s="258" t="s">
        <v>21</v>
      </c>
      <c r="K23" s="258" t="s">
        <v>21</v>
      </c>
      <c r="L23" s="259">
        <v>28766</v>
      </c>
      <c r="M23" s="259">
        <v>4727</v>
      </c>
      <c r="N23" s="259">
        <v>67309</v>
      </c>
      <c r="O23" s="63"/>
      <c r="P23" s="63"/>
    </row>
    <row r="24" spans="1:16" x14ac:dyDescent="0.2">
      <c r="D24" s="58"/>
      <c r="H24" s="258" t="s">
        <v>180</v>
      </c>
      <c r="I24" s="258" t="s">
        <v>45</v>
      </c>
      <c r="J24" s="258" t="s">
        <v>21</v>
      </c>
      <c r="K24" s="258" t="s">
        <v>21</v>
      </c>
      <c r="L24" s="259">
        <v>17535</v>
      </c>
      <c r="M24" s="259">
        <v>6782</v>
      </c>
      <c r="N24" s="259">
        <v>119170</v>
      </c>
      <c r="O24" s="63"/>
      <c r="P24" s="63"/>
    </row>
    <row r="25" spans="1:16" x14ac:dyDescent="0.2">
      <c r="H25" s="258" t="s">
        <v>180</v>
      </c>
      <c r="I25" s="258" t="s">
        <v>46</v>
      </c>
      <c r="J25" s="258" t="s">
        <v>21</v>
      </c>
      <c r="K25" s="258" t="s">
        <v>21</v>
      </c>
      <c r="L25" s="259">
        <v>14195</v>
      </c>
      <c r="M25" s="259">
        <v>6318</v>
      </c>
      <c r="N25" s="259">
        <v>43487</v>
      </c>
      <c r="O25" s="63"/>
      <c r="P25" s="63"/>
    </row>
    <row r="26" spans="1:16" x14ac:dyDescent="0.2">
      <c r="H26" s="258" t="s">
        <v>180</v>
      </c>
      <c r="I26" s="258" t="s">
        <v>47</v>
      </c>
      <c r="J26" s="258" t="s">
        <v>21</v>
      </c>
      <c r="K26" s="258" t="s">
        <v>21</v>
      </c>
      <c r="L26" s="258">
        <v>0</v>
      </c>
      <c r="M26" s="258">
        <v>0</v>
      </c>
      <c r="N26" s="258">
        <v>0</v>
      </c>
      <c r="O26" s="63"/>
      <c r="P26" s="63"/>
    </row>
    <row r="27" spans="1:16" x14ac:dyDescent="0.2">
      <c r="H27" s="258" t="s">
        <v>180</v>
      </c>
      <c r="I27" s="258" t="s">
        <v>50</v>
      </c>
      <c r="J27" s="258" t="s">
        <v>21</v>
      </c>
      <c r="K27" s="258" t="s">
        <v>21</v>
      </c>
      <c r="L27" s="259">
        <v>6933</v>
      </c>
      <c r="M27" s="259">
        <v>1532</v>
      </c>
      <c r="N27" s="259">
        <v>8044</v>
      </c>
      <c r="O27" s="63"/>
      <c r="P27" s="63"/>
    </row>
    <row r="28" spans="1:16" x14ac:dyDescent="0.2">
      <c r="H28" s="258" t="s">
        <v>180</v>
      </c>
      <c r="I28" s="258" t="s">
        <v>50</v>
      </c>
      <c r="J28" s="258" t="s">
        <v>52</v>
      </c>
      <c r="K28" s="258" t="s">
        <v>72</v>
      </c>
      <c r="L28" s="258">
        <v>539</v>
      </c>
      <c r="M28" s="258">
        <v>0</v>
      </c>
      <c r="N28" s="258">
        <v>146</v>
      </c>
      <c r="O28" s="63"/>
      <c r="P28" s="63"/>
    </row>
    <row r="29" spans="1:16" x14ac:dyDescent="0.2">
      <c r="H29" s="258" t="s">
        <v>180</v>
      </c>
      <c r="I29" s="258" t="s">
        <v>50</v>
      </c>
      <c r="J29" s="258" t="s">
        <v>55</v>
      </c>
      <c r="K29" s="258" t="s">
        <v>182</v>
      </c>
      <c r="L29" s="258">
        <v>0</v>
      </c>
      <c r="M29" s="258">
        <v>0</v>
      </c>
      <c r="N29" s="258">
        <v>145</v>
      </c>
      <c r="O29" s="267">
        <f>SUM(L23:N29)</f>
        <v>325628</v>
      </c>
      <c r="P29" s="267" t="s">
        <v>294</v>
      </c>
    </row>
    <row r="31" spans="1:16" x14ac:dyDescent="0.2">
      <c r="G31" s="4"/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P30"/>
  <sheetViews>
    <sheetView workbookViewId="0">
      <selection sqref="A1:F1"/>
    </sheetView>
  </sheetViews>
  <sheetFormatPr defaultRowHeight="12.75" x14ac:dyDescent="0.2"/>
  <cols>
    <col min="1" max="7" width="10.7109375" customWidth="1"/>
    <col min="9" max="9" width="21.85546875" bestFit="1" customWidth="1"/>
    <col min="10" max="10" width="12.28515625" bestFit="1" customWidth="1"/>
    <col min="11" max="11" width="36.7109375" bestFit="1" customWidth="1"/>
    <col min="12" max="14" width="10.7109375" customWidth="1"/>
    <col min="15" max="15" width="12.28515625" bestFit="1" customWidth="1"/>
    <col min="16" max="16" width="21.7109375" bestFit="1" customWidth="1"/>
  </cols>
  <sheetData>
    <row r="1" spans="1:16" ht="13.5" thickBot="1" x14ac:dyDescent="0.25">
      <c r="A1" s="516" t="s">
        <v>77</v>
      </c>
      <c r="B1" s="517"/>
      <c r="C1" s="517"/>
      <c r="D1" s="517"/>
      <c r="E1" s="517"/>
      <c r="F1" s="518"/>
      <c r="H1" s="516" t="s">
        <v>186</v>
      </c>
      <c r="I1" s="519"/>
      <c r="J1" s="519"/>
      <c r="K1" s="519"/>
      <c r="L1" s="519"/>
      <c r="M1" s="519"/>
      <c r="N1" s="520"/>
    </row>
    <row r="2" spans="1:16" x14ac:dyDescent="0.2">
      <c r="A2" s="504" t="s">
        <v>73</v>
      </c>
      <c r="B2" s="505"/>
      <c r="C2" s="505"/>
      <c r="D2" s="505"/>
      <c r="E2" s="505"/>
      <c r="F2" s="506"/>
      <c r="H2" s="521" t="s">
        <v>73</v>
      </c>
      <c r="I2" s="522"/>
      <c r="J2" s="522"/>
      <c r="K2" s="522"/>
      <c r="L2" s="522"/>
      <c r="M2" s="522"/>
      <c r="N2" s="523"/>
    </row>
    <row r="3" spans="1:16" x14ac:dyDescent="0.2">
      <c r="A3" s="504" t="s">
        <v>74</v>
      </c>
      <c r="B3" s="505"/>
      <c r="C3" s="505"/>
      <c r="D3" s="505"/>
      <c r="E3" s="505"/>
      <c r="F3" s="506"/>
      <c r="H3" s="504" t="s">
        <v>83</v>
      </c>
      <c r="I3" s="507"/>
      <c r="J3" s="507"/>
      <c r="K3" s="507"/>
      <c r="L3" s="507"/>
      <c r="M3" s="507"/>
      <c r="N3" s="508"/>
    </row>
    <row r="4" spans="1:16" x14ac:dyDescent="0.2">
      <c r="A4" s="504" t="s">
        <v>92</v>
      </c>
      <c r="B4" s="505"/>
      <c r="C4" s="505"/>
      <c r="D4" s="505"/>
      <c r="E4" s="505"/>
      <c r="F4" s="506"/>
      <c r="H4" s="504" t="s">
        <v>92</v>
      </c>
      <c r="I4" s="507"/>
      <c r="J4" s="507"/>
      <c r="K4" s="507"/>
      <c r="L4" s="507"/>
      <c r="M4" s="507"/>
      <c r="N4" s="508"/>
    </row>
    <row r="5" spans="1:16" ht="13.5" thickBot="1" x14ac:dyDescent="0.25">
      <c r="A5" s="509" t="s">
        <v>76</v>
      </c>
      <c r="B5" s="510"/>
      <c r="C5" s="510"/>
      <c r="D5" s="510"/>
      <c r="E5" s="510"/>
      <c r="F5" s="511"/>
      <c r="H5" s="509" t="s">
        <v>76</v>
      </c>
      <c r="I5" s="512"/>
      <c r="J5" s="512"/>
      <c r="K5" s="512"/>
      <c r="L5" s="512"/>
      <c r="M5" s="512"/>
      <c r="N5" s="513"/>
    </row>
    <row r="6" spans="1:16" x14ac:dyDescent="0.2">
      <c r="G6" s="211"/>
    </row>
    <row r="8" spans="1:16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</row>
    <row r="9" spans="1:16" x14ac:dyDescent="0.2">
      <c r="A9" s="113" t="s">
        <v>180</v>
      </c>
      <c r="B9" s="113" t="s">
        <v>38</v>
      </c>
      <c r="C9" s="113" t="s">
        <v>3</v>
      </c>
      <c r="D9" s="113">
        <v>610</v>
      </c>
      <c r="E9" s="113">
        <v>0</v>
      </c>
      <c r="F9" s="114">
        <v>10018</v>
      </c>
    </row>
    <row r="10" spans="1:16" x14ac:dyDescent="0.2">
      <c r="A10" s="113" t="s">
        <v>180</v>
      </c>
      <c r="B10" s="113" t="s">
        <v>38</v>
      </c>
      <c r="C10" s="113" t="s">
        <v>41</v>
      </c>
      <c r="D10" s="114">
        <v>69867</v>
      </c>
      <c r="E10" s="114">
        <v>81168</v>
      </c>
      <c r="F10" s="114">
        <v>570084</v>
      </c>
      <c r="H10" s="200" t="s">
        <v>32</v>
      </c>
      <c r="I10" s="200" t="s">
        <v>42</v>
      </c>
      <c r="J10" s="200" t="s">
        <v>51</v>
      </c>
      <c r="K10" s="200" t="s">
        <v>57</v>
      </c>
      <c r="L10" s="200" t="s">
        <v>34</v>
      </c>
      <c r="M10" s="200" t="s">
        <v>35</v>
      </c>
      <c r="N10" s="200" t="s">
        <v>103</v>
      </c>
    </row>
    <row r="11" spans="1:16" x14ac:dyDescent="0.2">
      <c r="A11" s="113" t="s">
        <v>180</v>
      </c>
      <c r="B11" s="113" t="s">
        <v>39</v>
      </c>
      <c r="C11" s="113" t="s">
        <v>41</v>
      </c>
      <c r="D11" s="114">
        <v>15331</v>
      </c>
      <c r="E11" s="114">
        <v>23767</v>
      </c>
      <c r="F11" s="114">
        <v>125323</v>
      </c>
      <c r="H11" s="113" t="s">
        <v>180</v>
      </c>
      <c r="I11" s="113" t="s">
        <v>21</v>
      </c>
      <c r="J11" s="113" t="s">
        <v>21</v>
      </c>
      <c r="K11" s="113" t="s">
        <v>21</v>
      </c>
      <c r="L11" s="114">
        <v>23536</v>
      </c>
      <c r="M11" s="114">
        <v>13257</v>
      </c>
      <c r="N11" s="114">
        <v>68369</v>
      </c>
    </row>
    <row r="12" spans="1:16" x14ac:dyDescent="0.2">
      <c r="H12" s="256" t="s">
        <v>180</v>
      </c>
      <c r="I12" s="256" t="s">
        <v>21</v>
      </c>
      <c r="J12" s="256" t="s">
        <v>52</v>
      </c>
      <c r="K12" s="256" t="s">
        <v>209</v>
      </c>
      <c r="L12" s="257">
        <v>2935</v>
      </c>
      <c r="M12" s="256">
        <v>360</v>
      </c>
      <c r="N12" s="257">
        <v>106617</v>
      </c>
    </row>
    <row r="13" spans="1:16" x14ac:dyDescent="0.2">
      <c r="H13" s="256" t="s">
        <v>180</v>
      </c>
      <c r="I13" s="256" t="s">
        <v>21</v>
      </c>
      <c r="J13" s="256" t="s">
        <v>52</v>
      </c>
      <c r="K13" s="256" t="s">
        <v>178</v>
      </c>
      <c r="L13" s="257">
        <v>10380</v>
      </c>
      <c r="M13" s="257">
        <v>23800</v>
      </c>
      <c r="N13" s="257">
        <v>60566</v>
      </c>
    </row>
    <row r="14" spans="1:16" x14ac:dyDescent="0.2">
      <c r="H14" s="256" t="s">
        <v>180</v>
      </c>
      <c r="I14" s="256" t="s">
        <v>21</v>
      </c>
      <c r="J14" s="256" t="s">
        <v>52</v>
      </c>
      <c r="K14" s="256" t="s">
        <v>210</v>
      </c>
      <c r="L14" s="257">
        <v>2045</v>
      </c>
      <c r="M14" s="257">
        <v>3682</v>
      </c>
      <c r="N14" s="257">
        <v>139840</v>
      </c>
      <c r="P14" s="4"/>
    </row>
    <row r="15" spans="1:16" x14ac:dyDescent="0.2">
      <c r="H15" s="256" t="s">
        <v>180</v>
      </c>
      <c r="I15" s="256" t="s">
        <v>21</v>
      </c>
      <c r="J15" s="256" t="s">
        <v>52</v>
      </c>
      <c r="K15" s="256" t="s">
        <v>72</v>
      </c>
      <c r="L15" s="257">
        <v>1215</v>
      </c>
      <c r="M15" s="257">
        <v>1195</v>
      </c>
      <c r="N15" s="257">
        <v>4736</v>
      </c>
      <c r="O15" s="268">
        <f>SUM(L12:N15)</f>
        <v>357371</v>
      </c>
      <c r="P15" s="262" t="s">
        <v>135</v>
      </c>
    </row>
    <row r="16" spans="1:16" x14ac:dyDescent="0.2">
      <c r="A16" s="59" t="s">
        <v>79</v>
      </c>
      <c r="B16" s="204" t="s">
        <v>80</v>
      </c>
      <c r="D16" s="205" t="s">
        <v>184</v>
      </c>
      <c r="E16" s="206"/>
      <c r="F16" s="207" t="s">
        <v>185</v>
      </c>
      <c r="H16" s="273" t="s">
        <v>180</v>
      </c>
      <c r="I16" s="273" t="s">
        <v>21</v>
      </c>
      <c r="J16" s="273" t="s">
        <v>52</v>
      </c>
      <c r="K16" s="273" t="s">
        <v>240</v>
      </c>
      <c r="L16" s="274">
        <v>1303</v>
      </c>
      <c r="M16" s="274">
        <v>4279</v>
      </c>
      <c r="N16" s="274">
        <v>24511</v>
      </c>
      <c r="O16" s="276">
        <f>SUM(L16:N16)</f>
        <v>30093</v>
      </c>
      <c r="P16" s="275" t="s">
        <v>292</v>
      </c>
    </row>
    <row r="17" spans="1:16" x14ac:dyDescent="0.2">
      <c r="A17" s="58" t="s">
        <v>38</v>
      </c>
      <c r="B17" s="209">
        <f>SUM(D10:F10)</f>
        <v>721119</v>
      </c>
      <c r="D17" s="515" t="s">
        <v>42</v>
      </c>
      <c r="E17" s="515"/>
      <c r="F17" s="98">
        <f>O29/B21</f>
        <v>0.35390811522476329</v>
      </c>
      <c r="H17" s="260" t="s">
        <v>180</v>
      </c>
      <c r="I17" s="260" t="s">
        <v>21</v>
      </c>
      <c r="J17" s="260" t="s">
        <v>55</v>
      </c>
      <c r="K17" s="260" t="s">
        <v>182</v>
      </c>
      <c r="L17" s="260">
        <v>245</v>
      </c>
      <c r="M17" s="260">
        <v>261</v>
      </c>
      <c r="N17" s="261">
        <v>15812</v>
      </c>
      <c r="P17" s="4"/>
    </row>
    <row r="18" spans="1:16" x14ac:dyDescent="0.2">
      <c r="A18" s="58" t="s">
        <v>39</v>
      </c>
      <c r="B18" s="209">
        <f>SUM(D11:F11)</f>
        <v>164421</v>
      </c>
      <c r="D18" s="505" t="s">
        <v>78</v>
      </c>
      <c r="E18" s="505"/>
      <c r="F18" s="98">
        <f>O23/B21</f>
        <v>8.4031649085083607E-2</v>
      </c>
      <c r="H18" s="260" t="s">
        <v>180</v>
      </c>
      <c r="I18" s="260" t="s">
        <v>21</v>
      </c>
      <c r="J18" s="260" t="s">
        <v>55</v>
      </c>
      <c r="K18" s="260" t="s">
        <v>54</v>
      </c>
      <c r="L18" s="260">
        <v>998</v>
      </c>
      <c r="M18" s="261">
        <v>3473</v>
      </c>
      <c r="N18" s="261">
        <v>7849</v>
      </c>
      <c r="P18" s="4"/>
    </row>
    <row r="19" spans="1:16" x14ac:dyDescent="0.2">
      <c r="A19" s="58" t="s">
        <v>2</v>
      </c>
      <c r="B19" s="218">
        <f>'Sundry Debtors'!C299</f>
        <v>25294.339999999997</v>
      </c>
      <c r="C19" s="58"/>
      <c r="D19" t="s">
        <v>253</v>
      </c>
      <c r="F19" s="64">
        <f>O16/B21</f>
        <v>3.2657872919689808E-2</v>
      </c>
      <c r="H19" s="260" t="s">
        <v>180</v>
      </c>
      <c r="I19" s="260" t="s">
        <v>21</v>
      </c>
      <c r="J19" s="260" t="s">
        <v>55</v>
      </c>
      <c r="K19" s="260" t="s">
        <v>66</v>
      </c>
      <c r="L19" s="260">
        <v>0</v>
      </c>
      <c r="M19" s="261">
        <v>1030</v>
      </c>
      <c r="N19" s="260">
        <v>0</v>
      </c>
      <c r="P19" s="4"/>
    </row>
    <row r="20" spans="1:16" x14ac:dyDescent="0.2">
      <c r="A20" s="58" t="s">
        <v>3</v>
      </c>
      <c r="B20" s="209">
        <f>SUM(D9:F9)</f>
        <v>10628</v>
      </c>
      <c r="D20" s="503" t="s">
        <v>81</v>
      </c>
      <c r="E20" s="503"/>
      <c r="F20" s="219">
        <f>(O15+'Sundry Debtors'!C264)/B21</f>
        <v>0.41136629631548483</v>
      </c>
      <c r="H20" s="260" t="s">
        <v>180</v>
      </c>
      <c r="I20" s="260" t="s">
        <v>21</v>
      </c>
      <c r="J20" s="260" t="s">
        <v>55</v>
      </c>
      <c r="K20" s="260" t="s">
        <v>67</v>
      </c>
      <c r="L20" s="261">
        <v>1156</v>
      </c>
      <c r="M20" s="260">
        <v>0</v>
      </c>
      <c r="N20" s="261">
        <v>3291</v>
      </c>
      <c r="P20" s="4"/>
    </row>
    <row r="21" spans="1:16" ht="13.5" thickBot="1" x14ac:dyDescent="0.25">
      <c r="A21" s="4"/>
      <c r="B21" s="210">
        <f>SUM(B17:B20)</f>
        <v>921462.34</v>
      </c>
      <c r="F21" s="208">
        <f>SUM(F17:F20)</f>
        <v>0.88196393354502156</v>
      </c>
      <c r="H21" s="260" t="s">
        <v>180</v>
      </c>
      <c r="I21" s="260" t="s">
        <v>21</v>
      </c>
      <c r="J21" s="260" t="s">
        <v>55</v>
      </c>
      <c r="K21" s="260" t="s">
        <v>68</v>
      </c>
      <c r="L21" s="260">
        <v>477</v>
      </c>
      <c r="M21" s="260">
        <v>0</v>
      </c>
      <c r="N21" s="261">
        <v>3587</v>
      </c>
      <c r="P21" s="4"/>
    </row>
    <row r="22" spans="1:16" x14ac:dyDescent="0.2">
      <c r="H22" s="260" t="s">
        <v>180</v>
      </c>
      <c r="I22" s="260" t="s">
        <v>21</v>
      </c>
      <c r="J22" s="260" t="s">
        <v>55</v>
      </c>
      <c r="K22" s="260" t="s">
        <v>183</v>
      </c>
      <c r="L22" s="261">
        <v>1255</v>
      </c>
      <c r="M22" s="261">
        <v>2704</v>
      </c>
      <c r="N22" s="261">
        <v>18130</v>
      </c>
      <c r="P22" s="4"/>
    </row>
    <row r="23" spans="1:16" x14ac:dyDescent="0.2">
      <c r="H23" s="260" t="s">
        <v>180</v>
      </c>
      <c r="I23" s="260" t="s">
        <v>21</v>
      </c>
      <c r="J23" s="260" t="s">
        <v>55</v>
      </c>
      <c r="K23" s="260" t="s">
        <v>72</v>
      </c>
      <c r="L23" s="260">
        <v>856</v>
      </c>
      <c r="M23" s="261">
        <v>8327</v>
      </c>
      <c r="N23" s="261">
        <v>7981</v>
      </c>
      <c r="O23" s="269">
        <f>SUM(L17:N23)</f>
        <v>77432</v>
      </c>
      <c r="P23" s="263" t="s">
        <v>293</v>
      </c>
    </row>
    <row r="24" spans="1:16" x14ac:dyDescent="0.2">
      <c r="H24" s="270" t="s">
        <v>180</v>
      </c>
      <c r="I24" s="270" t="s">
        <v>43</v>
      </c>
      <c r="J24" s="270" t="s">
        <v>21</v>
      </c>
      <c r="K24" s="270" t="s">
        <v>21</v>
      </c>
      <c r="L24" s="271">
        <v>11380</v>
      </c>
      <c r="M24" s="271">
        <v>11978</v>
      </c>
      <c r="N24" s="271">
        <v>68494</v>
      </c>
      <c r="P24" s="4"/>
    </row>
    <row r="25" spans="1:16" x14ac:dyDescent="0.2">
      <c r="H25" s="270" t="s">
        <v>180</v>
      </c>
      <c r="I25" s="270" t="s">
        <v>45</v>
      </c>
      <c r="J25" s="270" t="s">
        <v>21</v>
      </c>
      <c r="K25" s="270" t="s">
        <v>21</v>
      </c>
      <c r="L25" s="271">
        <v>11634</v>
      </c>
      <c r="M25" s="271">
        <v>18919</v>
      </c>
      <c r="N25" s="271">
        <v>124984</v>
      </c>
      <c r="P25" s="4"/>
    </row>
    <row r="26" spans="1:16" x14ac:dyDescent="0.2">
      <c r="H26" s="270" t="s">
        <v>180</v>
      </c>
      <c r="I26" s="270" t="s">
        <v>46</v>
      </c>
      <c r="J26" s="270" t="s">
        <v>21</v>
      </c>
      <c r="K26" s="270" t="s">
        <v>21</v>
      </c>
      <c r="L26" s="271">
        <v>11367</v>
      </c>
      <c r="M26" s="271">
        <v>6903</v>
      </c>
      <c r="N26" s="271">
        <v>42650</v>
      </c>
      <c r="P26" s="4"/>
    </row>
    <row r="27" spans="1:16" x14ac:dyDescent="0.2">
      <c r="H27" s="270" t="s">
        <v>180</v>
      </c>
      <c r="I27" s="270" t="s">
        <v>50</v>
      </c>
      <c r="J27" s="270" t="s">
        <v>21</v>
      </c>
      <c r="K27" s="270" t="s">
        <v>21</v>
      </c>
      <c r="L27" s="271">
        <v>5028</v>
      </c>
      <c r="M27" s="271">
        <v>4621</v>
      </c>
      <c r="N27" s="271">
        <v>8008</v>
      </c>
      <c r="P27" s="4"/>
    </row>
    <row r="28" spans="1:16" x14ac:dyDescent="0.2">
      <c r="H28" s="270" t="s">
        <v>180</v>
      </c>
      <c r="I28" s="270" t="s">
        <v>50</v>
      </c>
      <c r="J28" s="270" t="s">
        <v>52</v>
      </c>
      <c r="K28" s="270" t="s">
        <v>178</v>
      </c>
      <c r="L28" s="270">
        <v>0</v>
      </c>
      <c r="M28" s="270">
        <v>145</v>
      </c>
      <c r="N28" s="270">
        <v>0</v>
      </c>
      <c r="P28" s="4"/>
    </row>
    <row r="29" spans="1:16" x14ac:dyDescent="0.2">
      <c r="H29" s="270" t="s">
        <v>180</v>
      </c>
      <c r="I29" s="270" t="s">
        <v>50</v>
      </c>
      <c r="J29" s="270" t="s">
        <v>55</v>
      </c>
      <c r="K29" s="270" t="s">
        <v>54</v>
      </c>
      <c r="L29" s="270">
        <v>0</v>
      </c>
      <c r="M29" s="270">
        <v>2</v>
      </c>
      <c r="N29" s="270">
        <v>0</v>
      </c>
      <c r="O29" s="277">
        <f>SUM(L24:N29)</f>
        <v>326113</v>
      </c>
      <c r="P29" s="272" t="s">
        <v>294</v>
      </c>
    </row>
    <row r="30" spans="1:16" x14ac:dyDescent="0.2">
      <c r="P30" s="4"/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6A44-3276-48F6-9D4C-41ECE99CBFA2}">
  <dimension ref="A1:G23"/>
  <sheetViews>
    <sheetView zoomScale="130" zoomScaleNormal="130" workbookViewId="0">
      <selection activeCell="D11" sqref="D11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439</v>
      </c>
      <c r="B8" s="340" t="s">
        <v>38</v>
      </c>
      <c r="C8" s="340" t="s">
        <v>3</v>
      </c>
      <c r="D8" s="342">
        <v>0</v>
      </c>
      <c r="E8" s="342">
        <v>328.28</v>
      </c>
      <c r="F8" s="342">
        <v>2577.85</v>
      </c>
    </row>
    <row r="9" spans="1:7" x14ac:dyDescent="0.25">
      <c r="A9" s="340" t="s">
        <v>439</v>
      </c>
      <c r="B9" s="340" t="s">
        <v>38</v>
      </c>
      <c r="C9" s="340" t="s">
        <v>323</v>
      </c>
      <c r="D9" s="342">
        <v>1619.04</v>
      </c>
      <c r="E9" s="342">
        <v>19.62</v>
      </c>
      <c r="F9" s="342">
        <v>8594.65</v>
      </c>
    </row>
    <row r="10" spans="1:7" x14ac:dyDescent="0.25">
      <c r="A10" s="340" t="s">
        <v>439</v>
      </c>
      <c r="B10" s="340" t="s">
        <v>38</v>
      </c>
      <c r="C10" s="340" t="s">
        <v>41</v>
      </c>
      <c r="D10" s="342">
        <v>127006.7</v>
      </c>
      <c r="E10" s="342">
        <v>45899.74</v>
      </c>
      <c r="F10" s="342">
        <v>1171015.45</v>
      </c>
    </row>
    <row r="11" spans="1:7" x14ac:dyDescent="0.25">
      <c r="A11" s="340" t="s">
        <v>439</v>
      </c>
      <c r="B11" s="340" t="s">
        <v>39</v>
      </c>
      <c r="C11" s="340" t="s">
        <v>41</v>
      </c>
      <c r="D11" s="342">
        <v>31700.41</v>
      </c>
      <c r="E11" s="342">
        <v>8624.61</v>
      </c>
      <c r="F11" s="342">
        <v>105763.1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1343921.89</v>
      </c>
      <c r="E14" s="390"/>
      <c r="F14" s="417"/>
    </row>
    <row r="15" spans="1:7" x14ac:dyDescent="0.25">
      <c r="A15" s="336" t="s">
        <v>39</v>
      </c>
      <c r="B15" s="415">
        <f>SUM(D11:F11)</f>
        <v>146088.12</v>
      </c>
    </row>
    <row r="16" spans="1:7" x14ac:dyDescent="0.25">
      <c r="A16" s="336" t="s">
        <v>2</v>
      </c>
      <c r="B16" s="415">
        <f>SUM(D9:F9)</f>
        <v>10233.31</v>
      </c>
    </row>
    <row r="17" spans="1:6" x14ac:dyDescent="0.25">
      <c r="A17" s="336" t="s">
        <v>3</v>
      </c>
      <c r="B17" s="415">
        <f>SUM(D8:F8)</f>
        <v>2906.13</v>
      </c>
    </row>
    <row r="18" spans="1:6" ht="15.75" thickBot="1" x14ac:dyDescent="0.3">
      <c r="A18" s="361"/>
      <c r="B18" s="416">
        <f>SUM(B14:B17)</f>
        <v>1503149.4499999997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P31"/>
  <sheetViews>
    <sheetView workbookViewId="0">
      <selection sqref="A1:F1"/>
    </sheetView>
  </sheetViews>
  <sheetFormatPr defaultRowHeight="12.75" x14ac:dyDescent="0.2"/>
  <cols>
    <col min="1" max="7" width="10.7109375" customWidth="1"/>
    <col min="9" max="9" width="21.85546875" bestFit="1" customWidth="1"/>
    <col min="10" max="10" width="12.28515625" bestFit="1" customWidth="1"/>
    <col min="11" max="11" width="36.7109375" bestFit="1" customWidth="1"/>
    <col min="12" max="14" width="10.7109375" customWidth="1"/>
    <col min="15" max="15" width="12.28515625" bestFit="1" customWidth="1"/>
    <col min="16" max="16" width="21.7109375" bestFit="1" customWidth="1"/>
  </cols>
  <sheetData>
    <row r="1" spans="1:16" ht="13.5" thickBot="1" x14ac:dyDescent="0.25">
      <c r="A1" s="516" t="s">
        <v>77</v>
      </c>
      <c r="B1" s="517"/>
      <c r="C1" s="517"/>
      <c r="D1" s="517"/>
      <c r="E1" s="517"/>
      <c r="F1" s="518"/>
      <c r="H1" s="516" t="s">
        <v>186</v>
      </c>
      <c r="I1" s="519"/>
      <c r="J1" s="519"/>
      <c r="K1" s="519"/>
      <c r="L1" s="519"/>
      <c r="M1" s="519"/>
      <c r="N1" s="520"/>
    </row>
    <row r="2" spans="1:16" x14ac:dyDescent="0.2">
      <c r="A2" s="504" t="s">
        <v>73</v>
      </c>
      <c r="B2" s="505"/>
      <c r="C2" s="505"/>
      <c r="D2" s="505"/>
      <c r="E2" s="505"/>
      <c r="F2" s="506"/>
      <c r="H2" s="521" t="s">
        <v>73</v>
      </c>
      <c r="I2" s="522"/>
      <c r="J2" s="522"/>
      <c r="K2" s="522"/>
      <c r="L2" s="522"/>
      <c r="M2" s="522"/>
      <c r="N2" s="523"/>
    </row>
    <row r="3" spans="1:16" x14ac:dyDescent="0.2">
      <c r="A3" s="504" t="s">
        <v>74</v>
      </c>
      <c r="B3" s="505"/>
      <c r="C3" s="505"/>
      <c r="D3" s="505"/>
      <c r="E3" s="505"/>
      <c r="F3" s="506"/>
      <c r="H3" s="504" t="s">
        <v>83</v>
      </c>
      <c r="I3" s="507"/>
      <c r="J3" s="507"/>
      <c r="K3" s="507"/>
      <c r="L3" s="507"/>
      <c r="M3" s="507"/>
      <c r="N3" s="508"/>
    </row>
    <row r="4" spans="1:16" x14ac:dyDescent="0.2">
      <c r="A4" s="504" t="s">
        <v>92</v>
      </c>
      <c r="B4" s="505"/>
      <c r="C4" s="505"/>
      <c r="D4" s="505"/>
      <c r="E4" s="505"/>
      <c r="F4" s="506"/>
      <c r="H4" s="504" t="s">
        <v>92</v>
      </c>
      <c r="I4" s="507"/>
      <c r="J4" s="507"/>
      <c r="K4" s="507"/>
      <c r="L4" s="507"/>
      <c r="M4" s="507"/>
      <c r="N4" s="508"/>
    </row>
    <row r="5" spans="1:16" ht="13.5" thickBot="1" x14ac:dyDescent="0.25">
      <c r="A5" s="509" t="s">
        <v>76</v>
      </c>
      <c r="B5" s="510"/>
      <c r="C5" s="510"/>
      <c r="D5" s="510"/>
      <c r="E5" s="510"/>
      <c r="F5" s="511"/>
      <c r="H5" s="509" t="s">
        <v>76</v>
      </c>
      <c r="I5" s="512"/>
      <c r="J5" s="512"/>
      <c r="K5" s="512"/>
      <c r="L5" s="512"/>
      <c r="M5" s="512"/>
      <c r="N5" s="513"/>
    </row>
    <row r="6" spans="1:16" x14ac:dyDescent="0.2">
      <c r="G6" s="211"/>
    </row>
    <row r="8" spans="1:16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  <c r="H8" s="200" t="s">
        <v>32</v>
      </c>
      <c r="I8" s="200" t="s">
        <v>42</v>
      </c>
      <c r="J8" s="200" t="s">
        <v>51</v>
      </c>
      <c r="K8" s="200" t="s">
        <v>57</v>
      </c>
      <c r="L8" s="200" t="s">
        <v>34</v>
      </c>
      <c r="M8" s="200" t="s">
        <v>35</v>
      </c>
      <c r="N8" s="200" t="s">
        <v>103</v>
      </c>
    </row>
    <row r="9" spans="1:16" x14ac:dyDescent="0.2">
      <c r="A9" s="113" t="s">
        <v>180</v>
      </c>
      <c r="B9" s="113" t="s">
        <v>38</v>
      </c>
      <c r="C9" s="113" t="s">
        <v>3</v>
      </c>
      <c r="D9" s="113">
        <v>0</v>
      </c>
      <c r="E9" s="113">
        <v>0</v>
      </c>
      <c r="F9" s="114">
        <v>9907</v>
      </c>
      <c r="H9" s="113" t="s">
        <v>180</v>
      </c>
      <c r="I9" s="113" t="s">
        <v>21</v>
      </c>
      <c r="J9" s="113" t="s">
        <v>21</v>
      </c>
      <c r="K9" s="113" t="s">
        <v>21</v>
      </c>
      <c r="L9" s="114">
        <v>40477</v>
      </c>
      <c r="M9" s="114">
        <v>21216</v>
      </c>
      <c r="N9" s="114">
        <v>97382</v>
      </c>
    </row>
    <row r="10" spans="1:16" x14ac:dyDescent="0.2">
      <c r="A10" s="113" t="s">
        <v>180</v>
      </c>
      <c r="B10" s="113" t="s">
        <v>38</v>
      </c>
      <c r="C10" s="113" t="s">
        <v>41</v>
      </c>
      <c r="D10" s="114">
        <v>98946</v>
      </c>
      <c r="E10" s="114">
        <v>99905</v>
      </c>
      <c r="F10" s="114">
        <v>509487</v>
      </c>
      <c r="H10" s="256" t="s">
        <v>180</v>
      </c>
      <c r="I10" s="256" t="s">
        <v>21</v>
      </c>
      <c r="J10" s="256" t="s">
        <v>52</v>
      </c>
      <c r="K10" s="256" t="s">
        <v>209</v>
      </c>
      <c r="L10" s="256">
        <v>360</v>
      </c>
      <c r="M10" s="257">
        <v>29241</v>
      </c>
      <c r="N10" s="257">
        <v>76545</v>
      </c>
    </row>
    <row r="11" spans="1:16" x14ac:dyDescent="0.2">
      <c r="A11" s="113" t="s">
        <v>180</v>
      </c>
      <c r="B11" s="113" t="s">
        <v>39</v>
      </c>
      <c r="C11" s="113" t="s">
        <v>41</v>
      </c>
      <c r="D11" s="114">
        <v>28180</v>
      </c>
      <c r="E11" s="114">
        <v>17185</v>
      </c>
      <c r="F11" s="114">
        <v>122029</v>
      </c>
      <c r="H11" s="256" t="s">
        <v>180</v>
      </c>
      <c r="I11" s="256" t="s">
        <v>21</v>
      </c>
      <c r="J11" s="256" t="s">
        <v>52</v>
      </c>
      <c r="K11" s="256" t="s">
        <v>178</v>
      </c>
      <c r="L11" s="257">
        <v>5814</v>
      </c>
      <c r="M11" s="257">
        <v>2649</v>
      </c>
      <c r="N11" s="257">
        <v>34095</v>
      </c>
    </row>
    <row r="12" spans="1:16" x14ac:dyDescent="0.2">
      <c r="H12" s="256" t="s">
        <v>180</v>
      </c>
      <c r="I12" s="256" t="s">
        <v>21</v>
      </c>
      <c r="J12" s="256" t="s">
        <v>52</v>
      </c>
      <c r="K12" s="256" t="s">
        <v>210</v>
      </c>
      <c r="L12" s="257">
        <v>5768</v>
      </c>
      <c r="M12" s="257">
        <v>8700</v>
      </c>
      <c r="N12" s="257">
        <v>135804</v>
      </c>
      <c r="O12" s="62"/>
    </row>
    <row r="13" spans="1:16" x14ac:dyDescent="0.2">
      <c r="H13" s="256" t="s">
        <v>180</v>
      </c>
      <c r="I13" s="256" t="s">
        <v>21</v>
      </c>
      <c r="J13" s="256" t="s">
        <v>52</v>
      </c>
      <c r="K13" s="256" t="s">
        <v>72</v>
      </c>
      <c r="L13" s="257">
        <v>13820</v>
      </c>
      <c r="M13" s="257">
        <v>3967</v>
      </c>
      <c r="N13" s="257">
        <v>8312</v>
      </c>
      <c r="O13" s="265">
        <f>SUM(L10:N13)</f>
        <v>325075</v>
      </c>
      <c r="P13" s="262" t="s">
        <v>135</v>
      </c>
    </row>
    <row r="14" spans="1:16" x14ac:dyDescent="0.2">
      <c r="H14" s="260" t="s">
        <v>180</v>
      </c>
      <c r="I14" s="260" t="s">
        <v>21</v>
      </c>
      <c r="J14" s="260" t="s">
        <v>52</v>
      </c>
      <c r="K14" s="260" t="s">
        <v>240</v>
      </c>
      <c r="L14" s="261">
        <v>1992</v>
      </c>
      <c r="M14" s="260">
        <v>931</v>
      </c>
      <c r="N14" s="261">
        <v>16829</v>
      </c>
      <c r="O14" s="266">
        <f>SUM(L14:N14)</f>
        <v>19752</v>
      </c>
      <c r="P14" s="263" t="s">
        <v>292</v>
      </c>
    </row>
    <row r="15" spans="1:16" x14ac:dyDescent="0.2">
      <c r="H15" s="241" t="s">
        <v>180</v>
      </c>
      <c r="I15" s="241" t="s">
        <v>21</v>
      </c>
      <c r="J15" s="241" t="s">
        <v>55</v>
      </c>
      <c r="K15" s="241" t="s">
        <v>182</v>
      </c>
      <c r="L15" s="241">
        <v>670</v>
      </c>
      <c r="M15" s="241">
        <v>0</v>
      </c>
      <c r="N15" s="242">
        <v>15819</v>
      </c>
      <c r="O15" s="63"/>
      <c r="P15" s="4"/>
    </row>
    <row r="16" spans="1:16" x14ac:dyDescent="0.2">
      <c r="A16" s="59" t="s">
        <v>79</v>
      </c>
      <c r="B16" s="204" t="s">
        <v>80</v>
      </c>
      <c r="D16" s="205" t="s">
        <v>184</v>
      </c>
      <c r="E16" s="206"/>
      <c r="F16" s="207" t="s">
        <v>185</v>
      </c>
      <c r="H16" s="241" t="s">
        <v>180</v>
      </c>
      <c r="I16" s="241" t="s">
        <v>21</v>
      </c>
      <c r="J16" s="241" t="s">
        <v>55</v>
      </c>
      <c r="K16" s="241" t="s">
        <v>54</v>
      </c>
      <c r="L16" s="241">
        <v>528</v>
      </c>
      <c r="M16" s="241">
        <v>198</v>
      </c>
      <c r="N16" s="242">
        <v>3776</v>
      </c>
      <c r="O16" s="63"/>
      <c r="P16" s="4"/>
    </row>
    <row r="17" spans="1:16" x14ac:dyDescent="0.2">
      <c r="A17" s="58" t="s">
        <v>38</v>
      </c>
      <c r="B17" s="209">
        <f>SUM(D10:F10)</f>
        <v>708338</v>
      </c>
      <c r="D17" s="515" t="s">
        <v>42</v>
      </c>
      <c r="E17" s="515"/>
      <c r="F17" s="98">
        <f>O31/B21</f>
        <v>0.32739509884358703</v>
      </c>
      <c r="H17" s="241" t="s">
        <v>180</v>
      </c>
      <c r="I17" s="241" t="s">
        <v>21</v>
      </c>
      <c r="J17" s="241" t="s">
        <v>55</v>
      </c>
      <c r="K17" s="241" t="s">
        <v>66</v>
      </c>
      <c r="L17" s="241">
        <v>489</v>
      </c>
      <c r="M17" s="241">
        <v>0</v>
      </c>
      <c r="N17" s="241">
        <v>650</v>
      </c>
      <c r="O17" s="63"/>
      <c r="P17" s="4"/>
    </row>
    <row r="18" spans="1:16" x14ac:dyDescent="0.2">
      <c r="A18" s="58" t="s">
        <v>39</v>
      </c>
      <c r="B18" s="209">
        <f>SUM(D11:F11)</f>
        <v>167394</v>
      </c>
      <c r="D18" s="505" t="s">
        <v>78</v>
      </c>
      <c r="E18" s="505"/>
      <c r="F18" s="98">
        <f>O20/B21</f>
        <v>7.38957445470102E-2</v>
      </c>
      <c r="H18" s="241" t="s">
        <v>180</v>
      </c>
      <c r="I18" s="241" t="s">
        <v>21</v>
      </c>
      <c r="J18" s="241" t="s">
        <v>55</v>
      </c>
      <c r="K18" s="241" t="s">
        <v>68</v>
      </c>
      <c r="L18" s="241">
        <v>0</v>
      </c>
      <c r="M18" s="241">
        <v>228</v>
      </c>
      <c r="N18" s="242">
        <v>1880</v>
      </c>
      <c r="O18" s="63"/>
      <c r="P18" s="4"/>
    </row>
    <row r="19" spans="1:16" x14ac:dyDescent="0.2">
      <c r="A19" s="58" t="s">
        <v>2</v>
      </c>
      <c r="B19" s="218">
        <f>'Sundry Debtors'!C261</f>
        <v>65633.640000000029</v>
      </c>
      <c r="C19" s="58"/>
      <c r="D19" t="s">
        <v>253</v>
      </c>
      <c r="F19" s="64">
        <f>O14/B21</f>
        <v>2.0763763372822326E-2</v>
      </c>
      <c r="H19" s="241" t="s">
        <v>180</v>
      </c>
      <c r="I19" s="241" t="s">
        <v>21</v>
      </c>
      <c r="J19" s="241" t="s">
        <v>55</v>
      </c>
      <c r="K19" s="241" t="s">
        <v>183</v>
      </c>
      <c r="L19" s="242">
        <v>2496</v>
      </c>
      <c r="M19" s="241">
        <v>391</v>
      </c>
      <c r="N19" s="242">
        <v>14833</v>
      </c>
      <c r="O19" s="63"/>
      <c r="P19" s="4"/>
    </row>
    <row r="20" spans="1:16" x14ac:dyDescent="0.2">
      <c r="A20" s="58" t="s">
        <v>3</v>
      </c>
      <c r="B20" s="209">
        <f>SUM(D9:F9)</f>
        <v>9907</v>
      </c>
      <c r="D20" s="503" t="s">
        <v>81</v>
      </c>
      <c r="E20" s="503"/>
      <c r="F20" s="219">
        <f>(O13+'Sundry Debtors'!C225+'Sundry Debtors'!C226)/'Notes - Dec11'!B21</f>
        <v>0.40165723677283521</v>
      </c>
      <c r="H20" s="241" t="s">
        <v>180</v>
      </c>
      <c r="I20" s="241" t="s">
        <v>21</v>
      </c>
      <c r="J20" s="241" t="s">
        <v>55</v>
      </c>
      <c r="K20" s="241" t="s">
        <v>72</v>
      </c>
      <c r="L20" s="242">
        <v>5704</v>
      </c>
      <c r="M20" s="242">
        <v>9024</v>
      </c>
      <c r="N20" s="242">
        <v>13609</v>
      </c>
      <c r="O20" s="243">
        <f>SUM(L15:N20)</f>
        <v>70295</v>
      </c>
      <c r="P20" s="244" t="s">
        <v>293</v>
      </c>
    </row>
    <row r="21" spans="1:16" ht="13.5" thickBot="1" x14ac:dyDescent="0.25">
      <c r="A21" s="4"/>
      <c r="B21" s="210">
        <f>SUM(B17:B20)</f>
        <v>951272.64</v>
      </c>
      <c r="F21" s="208">
        <f>SUM(F17:F20)</f>
        <v>0.82371184353625471</v>
      </c>
      <c r="H21" s="258" t="s">
        <v>180</v>
      </c>
      <c r="I21" s="258" t="s">
        <v>43</v>
      </c>
      <c r="J21" s="258" t="s">
        <v>21</v>
      </c>
      <c r="K21" s="258" t="s">
        <v>21</v>
      </c>
      <c r="L21" s="259">
        <v>14297</v>
      </c>
      <c r="M21" s="259">
        <v>15362</v>
      </c>
      <c r="N21" s="259">
        <v>55372</v>
      </c>
      <c r="O21" s="63"/>
      <c r="P21" s="4"/>
    </row>
    <row r="22" spans="1:16" x14ac:dyDescent="0.2">
      <c r="H22" s="258" t="s">
        <v>180</v>
      </c>
      <c r="I22" s="258" t="s">
        <v>43</v>
      </c>
      <c r="J22" s="258" t="s">
        <v>52</v>
      </c>
      <c r="K22" s="258" t="s">
        <v>210</v>
      </c>
      <c r="L22" s="258">
        <v>270</v>
      </c>
      <c r="M22" s="258">
        <v>0</v>
      </c>
      <c r="N22" s="258">
        <v>771</v>
      </c>
      <c r="O22" s="63"/>
      <c r="P22" s="4"/>
    </row>
    <row r="23" spans="1:16" x14ac:dyDescent="0.2">
      <c r="H23" s="258" t="s">
        <v>180</v>
      </c>
      <c r="I23" s="258" t="s">
        <v>43</v>
      </c>
      <c r="J23" s="258" t="s">
        <v>55</v>
      </c>
      <c r="K23" s="258" t="s">
        <v>183</v>
      </c>
      <c r="L23" s="258">
        <v>291</v>
      </c>
      <c r="M23" s="258">
        <v>0</v>
      </c>
      <c r="N23" s="258">
        <v>924</v>
      </c>
      <c r="O23" s="63"/>
      <c r="P23" s="4"/>
    </row>
    <row r="24" spans="1:16" x14ac:dyDescent="0.2">
      <c r="H24" s="258" t="s">
        <v>180</v>
      </c>
      <c r="I24" s="258" t="s">
        <v>43</v>
      </c>
      <c r="J24" s="258" t="s">
        <v>55</v>
      </c>
      <c r="K24" s="258" t="s">
        <v>72</v>
      </c>
      <c r="L24" s="258">
        <v>0</v>
      </c>
      <c r="M24" s="258">
        <v>78</v>
      </c>
      <c r="N24" s="258">
        <v>0</v>
      </c>
      <c r="O24" s="63"/>
      <c r="P24" s="4"/>
    </row>
    <row r="25" spans="1:16" x14ac:dyDescent="0.2">
      <c r="H25" s="258" t="s">
        <v>180</v>
      </c>
      <c r="I25" s="258" t="s">
        <v>45</v>
      </c>
      <c r="J25" s="258" t="s">
        <v>21</v>
      </c>
      <c r="K25" s="258" t="s">
        <v>21</v>
      </c>
      <c r="L25" s="259">
        <v>20717</v>
      </c>
      <c r="M25" s="259">
        <v>12164</v>
      </c>
      <c r="N25" s="259">
        <v>118705</v>
      </c>
      <c r="O25" s="63"/>
      <c r="P25" s="4"/>
    </row>
    <row r="26" spans="1:16" x14ac:dyDescent="0.2">
      <c r="H26" s="258" t="s">
        <v>180</v>
      </c>
      <c r="I26" s="258" t="s">
        <v>45</v>
      </c>
      <c r="J26" s="258" t="s">
        <v>55</v>
      </c>
      <c r="K26" s="258" t="s">
        <v>183</v>
      </c>
      <c r="L26" s="258">
        <v>0</v>
      </c>
      <c r="M26" s="258">
        <v>208</v>
      </c>
      <c r="N26" s="259">
        <v>3550</v>
      </c>
      <c r="O26" s="63"/>
      <c r="P26" s="4"/>
    </row>
    <row r="27" spans="1:16" x14ac:dyDescent="0.2">
      <c r="H27" s="258" t="s">
        <v>180</v>
      </c>
      <c r="I27" s="258" t="s">
        <v>46</v>
      </c>
      <c r="J27" s="258" t="s">
        <v>21</v>
      </c>
      <c r="K27" s="258" t="s">
        <v>21</v>
      </c>
      <c r="L27" s="259">
        <v>7806</v>
      </c>
      <c r="M27" s="259">
        <v>9482</v>
      </c>
      <c r="N27" s="259">
        <v>35392</v>
      </c>
      <c r="O27" s="63"/>
      <c r="P27" s="4"/>
    </row>
    <row r="28" spans="1:16" x14ac:dyDescent="0.2">
      <c r="H28" s="258" t="s">
        <v>180</v>
      </c>
      <c r="I28" s="258" t="s">
        <v>46</v>
      </c>
      <c r="J28" s="258" t="s">
        <v>55</v>
      </c>
      <c r="K28" s="258" t="s">
        <v>183</v>
      </c>
      <c r="L28" s="258">
        <v>0</v>
      </c>
      <c r="M28" s="258">
        <v>276</v>
      </c>
      <c r="N28" s="259">
        <v>1637</v>
      </c>
      <c r="O28" s="63"/>
      <c r="P28" s="4"/>
    </row>
    <row r="29" spans="1:16" x14ac:dyDescent="0.2">
      <c r="H29" s="258" t="s">
        <v>180</v>
      </c>
      <c r="I29" s="258" t="s">
        <v>46</v>
      </c>
      <c r="J29" s="258" t="s">
        <v>55</v>
      </c>
      <c r="K29" s="258" t="s">
        <v>72</v>
      </c>
      <c r="L29" s="258">
        <v>0</v>
      </c>
      <c r="M29" s="258">
        <v>0</v>
      </c>
      <c r="N29" s="258">
        <v>0</v>
      </c>
      <c r="O29" s="63"/>
      <c r="P29" s="4"/>
    </row>
    <row r="30" spans="1:16" x14ac:dyDescent="0.2">
      <c r="H30" s="258" t="s">
        <v>180</v>
      </c>
      <c r="I30" s="258" t="s">
        <v>50</v>
      </c>
      <c r="J30" s="258" t="s">
        <v>21</v>
      </c>
      <c r="K30" s="258" t="s">
        <v>21</v>
      </c>
      <c r="L30" s="259">
        <v>5627</v>
      </c>
      <c r="M30" s="259">
        <v>2975</v>
      </c>
      <c r="N30" s="259">
        <v>5538</v>
      </c>
      <c r="O30" s="63"/>
      <c r="P30" s="4"/>
    </row>
    <row r="31" spans="1:16" x14ac:dyDescent="0.2">
      <c r="H31" s="258" t="s">
        <v>180</v>
      </c>
      <c r="I31" s="258" t="s">
        <v>50</v>
      </c>
      <c r="J31" s="258" t="s">
        <v>55</v>
      </c>
      <c r="K31" s="258" t="s">
        <v>72</v>
      </c>
      <c r="L31" s="258">
        <v>0</v>
      </c>
      <c r="M31" s="258">
        <v>0</v>
      </c>
      <c r="N31" s="258">
        <v>0</v>
      </c>
      <c r="O31" s="267">
        <f>SUM(L21:N31)</f>
        <v>311442</v>
      </c>
      <c r="P31" s="264" t="s">
        <v>294</v>
      </c>
    </row>
  </sheetData>
  <mergeCells count="13">
    <mergeCell ref="D20:E20"/>
    <mergeCell ref="A4:F4"/>
    <mergeCell ref="H4:N4"/>
    <mergeCell ref="A5:F5"/>
    <mergeCell ref="H5:N5"/>
    <mergeCell ref="D17:E17"/>
    <mergeCell ref="D18:E18"/>
    <mergeCell ref="A1:F1"/>
    <mergeCell ref="H1:N1"/>
    <mergeCell ref="A2:F2"/>
    <mergeCell ref="H2:N2"/>
    <mergeCell ref="A3:F3"/>
    <mergeCell ref="H3:N3"/>
  </mergeCells>
  <pageMargins left="0.75" right="0.75" top="1" bottom="1" header="0.5" footer="0.5"/>
  <pageSetup paperSize="9" orientation="portrait" r:id="rId1"/>
  <headerFooter alignWithMargins="0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P25"/>
  <sheetViews>
    <sheetView workbookViewId="0">
      <selection sqref="A1:F1"/>
    </sheetView>
  </sheetViews>
  <sheetFormatPr defaultRowHeight="12.75" x14ac:dyDescent="0.2"/>
  <cols>
    <col min="1" max="7" width="10.7109375" customWidth="1"/>
    <col min="9" max="9" width="21.85546875" bestFit="1" customWidth="1"/>
    <col min="10" max="10" width="12.28515625" bestFit="1" customWidth="1"/>
    <col min="11" max="11" width="36.7109375" bestFit="1" customWidth="1"/>
    <col min="12" max="14" width="10.7109375" customWidth="1"/>
    <col min="15" max="15" width="12.28515625" bestFit="1" customWidth="1"/>
    <col min="16" max="16" width="21.7109375" bestFit="1" customWidth="1"/>
  </cols>
  <sheetData>
    <row r="1" spans="1:16" ht="13.5" thickBot="1" x14ac:dyDescent="0.25">
      <c r="A1" s="516" t="s">
        <v>77</v>
      </c>
      <c r="B1" s="517"/>
      <c r="C1" s="517"/>
      <c r="D1" s="517"/>
      <c r="E1" s="517"/>
      <c r="F1" s="518"/>
      <c r="H1" s="516" t="s">
        <v>186</v>
      </c>
      <c r="I1" s="519"/>
      <c r="J1" s="519"/>
      <c r="K1" s="519"/>
      <c r="L1" s="519"/>
      <c r="M1" s="519"/>
      <c r="N1" s="520"/>
    </row>
    <row r="2" spans="1:16" x14ac:dyDescent="0.2">
      <c r="A2" s="504" t="s">
        <v>73</v>
      </c>
      <c r="B2" s="505"/>
      <c r="C2" s="505"/>
      <c r="D2" s="505"/>
      <c r="E2" s="505"/>
      <c r="F2" s="506"/>
      <c r="H2" s="521" t="s">
        <v>73</v>
      </c>
      <c r="I2" s="522"/>
      <c r="J2" s="522"/>
      <c r="K2" s="522"/>
      <c r="L2" s="522"/>
      <c r="M2" s="522"/>
      <c r="N2" s="523"/>
    </row>
    <row r="3" spans="1:16" x14ac:dyDescent="0.2">
      <c r="A3" s="504" t="s">
        <v>74</v>
      </c>
      <c r="B3" s="505"/>
      <c r="C3" s="505"/>
      <c r="D3" s="505"/>
      <c r="E3" s="505"/>
      <c r="F3" s="506"/>
      <c r="H3" s="504" t="s">
        <v>83</v>
      </c>
      <c r="I3" s="507"/>
      <c r="J3" s="507"/>
      <c r="K3" s="507"/>
      <c r="L3" s="507"/>
      <c r="M3" s="507"/>
      <c r="N3" s="508"/>
    </row>
    <row r="4" spans="1:16" x14ac:dyDescent="0.2">
      <c r="A4" s="504" t="s">
        <v>92</v>
      </c>
      <c r="B4" s="505"/>
      <c r="C4" s="505"/>
      <c r="D4" s="505"/>
      <c r="E4" s="505"/>
      <c r="F4" s="506"/>
      <c r="H4" s="504" t="s">
        <v>92</v>
      </c>
      <c r="I4" s="507"/>
      <c r="J4" s="507"/>
      <c r="K4" s="507"/>
      <c r="L4" s="507"/>
      <c r="M4" s="507"/>
      <c r="N4" s="508"/>
    </row>
    <row r="5" spans="1:16" ht="13.5" thickBot="1" x14ac:dyDescent="0.25">
      <c r="A5" s="509" t="s">
        <v>76</v>
      </c>
      <c r="B5" s="510"/>
      <c r="C5" s="510"/>
      <c r="D5" s="510"/>
      <c r="E5" s="510"/>
      <c r="F5" s="511"/>
      <c r="H5" s="509" t="s">
        <v>76</v>
      </c>
      <c r="I5" s="512"/>
      <c r="J5" s="512"/>
      <c r="K5" s="512"/>
      <c r="L5" s="512"/>
      <c r="M5" s="512"/>
      <c r="N5" s="513"/>
    </row>
    <row r="6" spans="1:16" x14ac:dyDescent="0.2">
      <c r="G6" s="211"/>
    </row>
    <row r="8" spans="1:16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  <c r="H8" s="200" t="s">
        <v>32</v>
      </c>
      <c r="I8" s="200" t="s">
        <v>42</v>
      </c>
      <c r="J8" s="200" t="s">
        <v>51</v>
      </c>
      <c r="K8" s="200" t="s">
        <v>57</v>
      </c>
      <c r="L8" s="200" t="s">
        <v>34</v>
      </c>
      <c r="M8" s="200" t="s">
        <v>35</v>
      </c>
      <c r="N8" s="200" t="s">
        <v>103</v>
      </c>
    </row>
    <row r="9" spans="1:16" x14ac:dyDescent="0.2">
      <c r="A9" s="113" t="s">
        <v>180</v>
      </c>
      <c r="B9" s="113" t="s">
        <v>38</v>
      </c>
      <c r="C9" s="113" t="s">
        <v>3</v>
      </c>
      <c r="D9" s="113">
        <v>0</v>
      </c>
      <c r="E9" s="113">
        <v>788</v>
      </c>
      <c r="F9" s="114">
        <v>9305</v>
      </c>
      <c r="H9" s="233" t="s">
        <v>180</v>
      </c>
      <c r="I9" s="233" t="s">
        <v>21</v>
      </c>
      <c r="J9" s="233" t="s">
        <v>21</v>
      </c>
      <c r="K9" s="233" t="s">
        <v>21</v>
      </c>
      <c r="L9" s="234">
        <v>47359</v>
      </c>
      <c r="M9" s="234">
        <v>13035</v>
      </c>
      <c r="N9" s="234">
        <v>114167</v>
      </c>
      <c r="O9" s="217"/>
      <c r="P9" s="4"/>
    </row>
    <row r="10" spans="1:16" x14ac:dyDescent="0.2">
      <c r="A10" s="113" t="s">
        <v>180</v>
      </c>
      <c r="B10" s="113" t="s">
        <v>38</v>
      </c>
      <c r="C10" s="113" t="s">
        <v>41</v>
      </c>
      <c r="D10" s="114">
        <v>126645</v>
      </c>
      <c r="E10" s="114">
        <v>23146</v>
      </c>
      <c r="F10" s="114">
        <v>573198</v>
      </c>
      <c r="H10" s="233" t="s">
        <v>180</v>
      </c>
      <c r="I10" s="233" t="s">
        <v>21</v>
      </c>
      <c r="J10" s="233" t="s">
        <v>52</v>
      </c>
      <c r="K10" s="233" t="s">
        <v>209</v>
      </c>
      <c r="L10" s="234">
        <v>29790</v>
      </c>
      <c r="M10" s="233">
        <v>848</v>
      </c>
      <c r="N10" s="234">
        <v>101275</v>
      </c>
      <c r="O10" s="217"/>
      <c r="P10" s="4"/>
    </row>
    <row r="11" spans="1:16" x14ac:dyDescent="0.2">
      <c r="A11" s="113" t="s">
        <v>180</v>
      </c>
      <c r="B11" s="113" t="s">
        <v>39</v>
      </c>
      <c r="C11" s="113" t="s">
        <v>41</v>
      </c>
      <c r="D11" s="114">
        <v>22194</v>
      </c>
      <c r="E11" s="114">
        <v>6626</v>
      </c>
      <c r="F11" s="114">
        <v>130462</v>
      </c>
      <c r="H11" s="233" t="s">
        <v>180</v>
      </c>
      <c r="I11" s="233" t="s">
        <v>21</v>
      </c>
      <c r="J11" s="233" t="s">
        <v>52</v>
      </c>
      <c r="K11" s="233" t="s">
        <v>178</v>
      </c>
      <c r="L11" s="234">
        <v>3381</v>
      </c>
      <c r="M11" s="233">
        <v>362</v>
      </c>
      <c r="N11" s="234">
        <v>33908</v>
      </c>
      <c r="O11" s="217"/>
      <c r="P11" s="4"/>
    </row>
    <row r="12" spans="1:16" x14ac:dyDescent="0.2">
      <c r="H12" s="233" t="s">
        <v>180</v>
      </c>
      <c r="I12" s="233" t="s">
        <v>21</v>
      </c>
      <c r="J12" s="233" t="s">
        <v>52</v>
      </c>
      <c r="K12" s="233" t="s">
        <v>210</v>
      </c>
      <c r="L12" s="234">
        <v>8880</v>
      </c>
      <c r="M12" s="233">
        <v>262</v>
      </c>
      <c r="N12" s="234">
        <v>153059</v>
      </c>
      <c r="O12" s="217"/>
      <c r="P12" s="4"/>
    </row>
    <row r="13" spans="1:16" x14ac:dyDescent="0.2">
      <c r="H13" s="233" t="s">
        <v>180</v>
      </c>
      <c r="I13" s="233" t="s">
        <v>21</v>
      </c>
      <c r="J13" s="233" t="s">
        <v>52</v>
      </c>
      <c r="K13" s="233" t="s">
        <v>72</v>
      </c>
      <c r="L13" s="233">
        <v>0</v>
      </c>
      <c r="M13" s="233">
        <v>790</v>
      </c>
      <c r="N13" s="234">
        <v>2883</v>
      </c>
      <c r="O13" s="235">
        <f>SUM(L9:N13)</f>
        <v>509999</v>
      </c>
      <c r="P13" s="236" t="s">
        <v>52</v>
      </c>
    </row>
    <row r="14" spans="1:16" x14ac:dyDescent="0.2">
      <c r="H14" s="245" t="s">
        <v>180</v>
      </c>
      <c r="I14" s="245" t="s">
        <v>21</v>
      </c>
      <c r="J14" s="245" t="s">
        <v>52</v>
      </c>
      <c r="K14" s="245" t="s">
        <v>240</v>
      </c>
      <c r="L14" s="245">
        <v>641</v>
      </c>
      <c r="M14" s="245">
        <v>21</v>
      </c>
      <c r="N14" s="246">
        <v>11830</v>
      </c>
      <c r="O14" s="247">
        <f>SUM(L14:N14)</f>
        <v>12492</v>
      </c>
      <c r="P14" s="248" t="s">
        <v>254</v>
      </c>
    </row>
    <row r="15" spans="1:16" x14ac:dyDescent="0.2">
      <c r="H15" s="241" t="s">
        <v>180</v>
      </c>
      <c r="I15" s="241" t="s">
        <v>21</v>
      </c>
      <c r="J15" s="241" t="s">
        <v>55</v>
      </c>
      <c r="K15" s="241" t="s">
        <v>182</v>
      </c>
      <c r="L15" s="241">
        <v>228</v>
      </c>
      <c r="M15" s="241">
        <v>0</v>
      </c>
      <c r="N15" s="242">
        <v>17764</v>
      </c>
      <c r="O15" s="217"/>
      <c r="P15" s="4"/>
    </row>
    <row r="16" spans="1:16" x14ac:dyDescent="0.2">
      <c r="A16" s="59" t="s">
        <v>79</v>
      </c>
      <c r="B16" s="204" t="s">
        <v>80</v>
      </c>
      <c r="D16" s="205" t="s">
        <v>184</v>
      </c>
      <c r="E16" s="206"/>
      <c r="F16" s="207" t="s">
        <v>185</v>
      </c>
      <c r="H16" s="241" t="s">
        <v>180</v>
      </c>
      <c r="I16" s="241" t="s">
        <v>21</v>
      </c>
      <c r="J16" s="241" t="s">
        <v>55</v>
      </c>
      <c r="K16" s="241" t="s">
        <v>54</v>
      </c>
      <c r="L16" s="241">
        <v>60</v>
      </c>
      <c r="M16" s="241">
        <v>49</v>
      </c>
      <c r="N16" s="241">
        <v>399</v>
      </c>
      <c r="O16" s="217"/>
      <c r="P16" s="4"/>
    </row>
    <row r="17" spans="1:16" x14ac:dyDescent="0.2">
      <c r="A17" s="58" t="s">
        <v>38</v>
      </c>
      <c r="B17" s="209">
        <f>SUM(D10:F10)</f>
        <v>722989</v>
      </c>
      <c r="D17" s="515" t="s">
        <v>42</v>
      </c>
      <c r="E17" s="515"/>
      <c r="F17" s="98">
        <f>O25/B21</f>
        <v>0.33554731214796069</v>
      </c>
      <c r="H17" s="241" t="s">
        <v>180</v>
      </c>
      <c r="I17" s="241" t="s">
        <v>21</v>
      </c>
      <c r="J17" s="241" t="s">
        <v>55</v>
      </c>
      <c r="K17" s="241" t="s">
        <v>66</v>
      </c>
      <c r="L17" s="241">
        <v>360</v>
      </c>
      <c r="M17" s="241">
        <v>330</v>
      </c>
      <c r="N17" s="242">
        <v>3004</v>
      </c>
      <c r="O17" s="217"/>
      <c r="P17" s="4"/>
    </row>
    <row r="18" spans="1:16" x14ac:dyDescent="0.2">
      <c r="A18" s="58" t="s">
        <v>39</v>
      </c>
      <c r="B18" s="209">
        <f>SUM(D11:F11)</f>
        <v>159282</v>
      </c>
      <c r="D18" s="505" t="s">
        <v>78</v>
      </c>
      <c r="E18" s="505"/>
      <c r="F18" s="98">
        <f>O20/B21</f>
        <v>5.201511442434522E-2</v>
      </c>
      <c r="H18" s="241" t="s">
        <v>180</v>
      </c>
      <c r="I18" s="241" t="s">
        <v>21</v>
      </c>
      <c r="J18" s="241" t="s">
        <v>55</v>
      </c>
      <c r="K18" s="241" t="s">
        <v>68</v>
      </c>
      <c r="L18" s="241">
        <v>0</v>
      </c>
      <c r="M18" s="241">
        <v>217</v>
      </c>
      <c r="N18" s="242">
        <v>7777</v>
      </c>
      <c r="O18" s="217"/>
      <c r="P18" s="4"/>
    </row>
    <row r="19" spans="1:16" x14ac:dyDescent="0.2">
      <c r="A19" s="58" t="s">
        <v>2</v>
      </c>
      <c r="B19" s="218">
        <f>'Sundry Debtors'!C222</f>
        <v>61993.219999999994</v>
      </c>
      <c r="C19" s="58"/>
      <c r="D19" t="s">
        <v>253</v>
      </c>
      <c r="F19" s="64">
        <f>O14/B21</f>
        <v>1.308943835516852E-2</v>
      </c>
      <c r="H19" s="241" t="s">
        <v>180</v>
      </c>
      <c r="I19" s="241" t="s">
        <v>21</v>
      </c>
      <c r="J19" s="241" t="s">
        <v>55</v>
      </c>
      <c r="K19" s="241" t="s">
        <v>183</v>
      </c>
      <c r="L19" s="242">
        <v>1078</v>
      </c>
      <c r="M19" s="241">
        <v>487</v>
      </c>
      <c r="N19" s="242">
        <v>16487</v>
      </c>
      <c r="O19" s="217"/>
      <c r="P19" s="4"/>
    </row>
    <row r="20" spans="1:16" x14ac:dyDescent="0.2">
      <c r="A20" s="58" t="s">
        <v>3</v>
      </c>
      <c r="B20" s="209">
        <f>SUM(D9:F9)</f>
        <v>10093</v>
      </c>
      <c r="D20" s="503" t="s">
        <v>81</v>
      </c>
      <c r="E20" s="503"/>
      <c r="F20" s="219">
        <f>(O13+'Sundry Debtors'!C186+'Sundry Debtors'!C187)/B21</f>
        <v>0.59367463055395553</v>
      </c>
      <c r="H20" s="241" t="s">
        <v>180</v>
      </c>
      <c r="I20" s="241" t="s">
        <v>21</v>
      </c>
      <c r="J20" s="241" t="s">
        <v>55</v>
      </c>
      <c r="K20" s="241" t="s">
        <v>72</v>
      </c>
      <c r="L20" s="241">
        <v>0</v>
      </c>
      <c r="M20" s="241">
        <v>0</v>
      </c>
      <c r="N20" s="242">
        <v>1401</v>
      </c>
      <c r="O20" s="243">
        <f>SUM(L15:N20)</f>
        <v>49641</v>
      </c>
      <c r="P20" s="244" t="s">
        <v>255</v>
      </c>
    </row>
    <row r="21" spans="1:16" ht="13.5" thickBot="1" x14ac:dyDescent="0.25">
      <c r="A21" s="4"/>
      <c r="B21" s="210">
        <f>SUM(B17:B20)</f>
        <v>954357.22</v>
      </c>
      <c r="F21" s="208">
        <f>SUM(F17:F20)</f>
        <v>0.99432649548142993</v>
      </c>
      <c r="H21" s="237" t="s">
        <v>180</v>
      </c>
      <c r="I21" s="237" t="s">
        <v>43</v>
      </c>
      <c r="J21" s="237" t="s">
        <v>21</v>
      </c>
      <c r="K21" s="237" t="s">
        <v>21</v>
      </c>
      <c r="L21" s="238">
        <v>26439</v>
      </c>
      <c r="M21" s="238">
        <v>3304</v>
      </c>
      <c r="N21" s="238">
        <v>72330</v>
      </c>
      <c r="O21" s="217"/>
      <c r="P21" s="4"/>
    </row>
    <row r="22" spans="1:16" x14ac:dyDescent="0.2">
      <c r="H22" s="237" t="s">
        <v>180</v>
      </c>
      <c r="I22" s="237" t="s">
        <v>45</v>
      </c>
      <c r="J22" s="237" t="s">
        <v>21</v>
      </c>
      <c r="K22" s="237" t="s">
        <v>21</v>
      </c>
      <c r="L22" s="238">
        <v>11625</v>
      </c>
      <c r="M22" s="238">
        <v>4399</v>
      </c>
      <c r="N22" s="238">
        <v>126369</v>
      </c>
      <c r="O22" s="217"/>
      <c r="P22" s="4"/>
    </row>
    <row r="23" spans="1:16" x14ac:dyDescent="0.2">
      <c r="H23" s="237" t="s">
        <v>180</v>
      </c>
      <c r="I23" s="237" t="s">
        <v>45</v>
      </c>
      <c r="J23" s="237" t="s">
        <v>55</v>
      </c>
      <c r="K23" s="237" t="s">
        <v>183</v>
      </c>
      <c r="L23" s="238">
        <v>1931</v>
      </c>
      <c r="M23" s="237">
        <v>0</v>
      </c>
      <c r="N23" s="238">
        <v>1875</v>
      </c>
      <c r="O23" s="217"/>
      <c r="P23" s="4"/>
    </row>
    <row r="24" spans="1:16" x14ac:dyDescent="0.2">
      <c r="H24" s="237" t="s">
        <v>180</v>
      </c>
      <c r="I24" s="237" t="s">
        <v>46</v>
      </c>
      <c r="J24" s="237" t="s">
        <v>21</v>
      </c>
      <c r="K24" s="237" t="s">
        <v>21</v>
      </c>
      <c r="L24" s="238">
        <v>13604</v>
      </c>
      <c r="M24" s="238">
        <v>5651</v>
      </c>
      <c r="N24" s="238">
        <v>39856</v>
      </c>
      <c r="O24" s="217"/>
      <c r="P24" s="4"/>
    </row>
    <row r="25" spans="1:16" x14ac:dyDescent="0.2">
      <c r="H25" s="237" t="s">
        <v>180</v>
      </c>
      <c r="I25" s="237" t="s">
        <v>50</v>
      </c>
      <c r="J25" s="237" t="s">
        <v>21</v>
      </c>
      <c r="K25" s="237" t="s">
        <v>21</v>
      </c>
      <c r="L25" s="238">
        <v>3464</v>
      </c>
      <c r="M25" s="237">
        <v>805</v>
      </c>
      <c r="N25" s="238">
        <v>8580</v>
      </c>
      <c r="O25" s="239">
        <f>SUM(L21:N25)</f>
        <v>320232</v>
      </c>
      <c r="P25" s="240" t="s">
        <v>84</v>
      </c>
    </row>
  </sheetData>
  <mergeCells count="13">
    <mergeCell ref="A1:F1"/>
    <mergeCell ref="H1:N1"/>
    <mergeCell ref="A2:F2"/>
    <mergeCell ref="H2:N2"/>
    <mergeCell ref="A3:F3"/>
    <mergeCell ref="H3:N3"/>
    <mergeCell ref="D20:E20"/>
    <mergeCell ref="A4:F4"/>
    <mergeCell ref="H4:N4"/>
    <mergeCell ref="A5:F5"/>
    <mergeCell ref="H5:N5"/>
    <mergeCell ref="D17:E17"/>
    <mergeCell ref="D18:E18"/>
  </mergeCells>
  <pageMargins left="0.75" right="0.75" top="1" bottom="1" header="0.5" footer="0.5"/>
  <pageSetup paperSize="9" orientation="portrait" r:id="rId1"/>
  <headerFooter alignWithMargins="0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P27"/>
  <sheetViews>
    <sheetView workbookViewId="0">
      <selection sqref="A1:F1"/>
    </sheetView>
  </sheetViews>
  <sheetFormatPr defaultRowHeight="12.75" x14ac:dyDescent="0.2"/>
  <cols>
    <col min="1" max="7" width="10.7109375" customWidth="1"/>
    <col min="9" max="9" width="21.85546875" bestFit="1" customWidth="1"/>
    <col min="10" max="10" width="12.28515625" bestFit="1" customWidth="1"/>
    <col min="11" max="11" width="36.7109375" bestFit="1" customWidth="1"/>
    <col min="12" max="14" width="10.7109375" customWidth="1"/>
    <col min="15" max="15" width="12.28515625" bestFit="1" customWidth="1"/>
    <col min="16" max="16" width="21.7109375" bestFit="1" customWidth="1"/>
  </cols>
  <sheetData>
    <row r="1" spans="1:16" ht="13.5" thickBot="1" x14ac:dyDescent="0.25">
      <c r="A1" s="516" t="s">
        <v>77</v>
      </c>
      <c r="B1" s="517"/>
      <c r="C1" s="517"/>
      <c r="D1" s="517"/>
      <c r="E1" s="517"/>
      <c r="F1" s="518"/>
      <c r="H1" s="516" t="s">
        <v>186</v>
      </c>
      <c r="I1" s="519"/>
      <c r="J1" s="519"/>
      <c r="K1" s="519"/>
      <c r="L1" s="519"/>
      <c r="M1" s="519"/>
      <c r="N1" s="520"/>
    </row>
    <row r="2" spans="1:16" x14ac:dyDescent="0.2">
      <c r="A2" s="504" t="s">
        <v>73</v>
      </c>
      <c r="B2" s="505"/>
      <c r="C2" s="505"/>
      <c r="D2" s="505"/>
      <c r="E2" s="505"/>
      <c r="F2" s="506"/>
      <c r="H2" s="521" t="s">
        <v>73</v>
      </c>
      <c r="I2" s="522"/>
      <c r="J2" s="522"/>
      <c r="K2" s="522"/>
      <c r="L2" s="522"/>
      <c r="M2" s="522"/>
      <c r="N2" s="523"/>
    </row>
    <row r="3" spans="1:16" x14ac:dyDescent="0.2">
      <c r="A3" s="504" t="s">
        <v>74</v>
      </c>
      <c r="B3" s="505"/>
      <c r="C3" s="505"/>
      <c r="D3" s="505"/>
      <c r="E3" s="505"/>
      <c r="F3" s="506"/>
      <c r="H3" s="504" t="s">
        <v>83</v>
      </c>
      <c r="I3" s="507"/>
      <c r="J3" s="507"/>
      <c r="K3" s="507"/>
      <c r="L3" s="507"/>
      <c r="M3" s="507"/>
      <c r="N3" s="508"/>
    </row>
    <row r="4" spans="1:16" x14ac:dyDescent="0.2">
      <c r="A4" s="504" t="s">
        <v>92</v>
      </c>
      <c r="B4" s="505"/>
      <c r="C4" s="505"/>
      <c r="D4" s="505"/>
      <c r="E4" s="505"/>
      <c r="F4" s="506"/>
      <c r="H4" s="504" t="s">
        <v>92</v>
      </c>
      <c r="I4" s="507"/>
      <c r="J4" s="507"/>
      <c r="K4" s="507"/>
      <c r="L4" s="507"/>
      <c r="M4" s="507"/>
      <c r="N4" s="508"/>
    </row>
    <row r="5" spans="1:16" ht="13.5" thickBot="1" x14ac:dyDescent="0.25">
      <c r="A5" s="509" t="s">
        <v>76</v>
      </c>
      <c r="B5" s="510"/>
      <c r="C5" s="510"/>
      <c r="D5" s="510"/>
      <c r="E5" s="510"/>
      <c r="F5" s="511"/>
      <c r="H5" s="509" t="s">
        <v>76</v>
      </c>
      <c r="I5" s="512"/>
      <c r="J5" s="512"/>
      <c r="K5" s="512"/>
      <c r="L5" s="512"/>
      <c r="M5" s="512"/>
      <c r="N5" s="513"/>
    </row>
    <row r="6" spans="1:16" x14ac:dyDescent="0.2">
      <c r="G6" s="211"/>
    </row>
    <row r="8" spans="1:16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  <c r="H8" s="200" t="s">
        <v>32</v>
      </c>
      <c r="I8" s="200" t="s">
        <v>42</v>
      </c>
      <c r="J8" s="200" t="s">
        <v>51</v>
      </c>
      <c r="K8" s="200" t="s">
        <v>57</v>
      </c>
      <c r="L8" s="200" t="s">
        <v>34</v>
      </c>
      <c r="M8" s="200" t="s">
        <v>35</v>
      </c>
      <c r="N8" s="200" t="s">
        <v>103</v>
      </c>
    </row>
    <row r="9" spans="1:16" x14ac:dyDescent="0.2">
      <c r="A9" s="113" t="s">
        <v>180</v>
      </c>
      <c r="B9" s="113" t="s">
        <v>38</v>
      </c>
      <c r="C9" s="113" t="s">
        <v>3</v>
      </c>
      <c r="D9" s="113">
        <v>970</v>
      </c>
      <c r="E9" s="113">
        <v>0</v>
      </c>
      <c r="F9" s="114">
        <v>9729</v>
      </c>
      <c r="H9" s="113" t="s">
        <v>180</v>
      </c>
      <c r="I9" s="113" t="s">
        <v>21</v>
      </c>
      <c r="J9" s="113" t="s">
        <v>21</v>
      </c>
      <c r="K9" s="113" t="s">
        <v>21</v>
      </c>
      <c r="L9" s="114">
        <v>14253</v>
      </c>
      <c r="M9" s="114">
        <v>17585</v>
      </c>
      <c r="N9" s="114">
        <v>85601</v>
      </c>
    </row>
    <row r="10" spans="1:16" x14ac:dyDescent="0.2">
      <c r="A10" s="113" t="s">
        <v>180</v>
      </c>
      <c r="B10" s="113" t="s">
        <v>38</v>
      </c>
      <c r="C10" s="113" t="s">
        <v>41</v>
      </c>
      <c r="D10" s="114">
        <v>30816</v>
      </c>
      <c r="E10" s="114">
        <v>58298</v>
      </c>
      <c r="F10" s="114">
        <v>573283</v>
      </c>
      <c r="H10" s="168" t="s">
        <v>180</v>
      </c>
      <c r="I10" s="168" t="s">
        <v>21</v>
      </c>
      <c r="J10" s="168" t="s">
        <v>52</v>
      </c>
      <c r="K10" s="168" t="s">
        <v>209</v>
      </c>
      <c r="L10" s="168">
        <v>668</v>
      </c>
      <c r="M10" s="168">
        <v>0</v>
      </c>
      <c r="N10" s="169">
        <v>98381</v>
      </c>
    </row>
    <row r="11" spans="1:16" x14ac:dyDescent="0.2">
      <c r="A11" s="113" t="s">
        <v>180</v>
      </c>
      <c r="B11" s="113" t="s">
        <v>39</v>
      </c>
      <c r="C11" s="113" t="s">
        <v>41</v>
      </c>
      <c r="D11" s="114">
        <v>8099</v>
      </c>
      <c r="E11" s="114">
        <v>16524</v>
      </c>
      <c r="F11" s="114">
        <v>135767</v>
      </c>
      <c r="H11" s="168" t="s">
        <v>180</v>
      </c>
      <c r="I11" s="168" t="s">
        <v>21</v>
      </c>
      <c r="J11" s="168" t="s">
        <v>52</v>
      </c>
      <c r="K11" s="168" t="s">
        <v>178</v>
      </c>
      <c r="L11" s="169">
        <v>2852</v>
      </c>
      <c r="M11" s="169">
        <v>13965</v>
      </c>
      <c r="N11" s="169">
        <v>129817</v>
      </c>
    </row>
    <row r="12" spans="1:16" x14ac:dyDescent="0.2">
      <c r="H12" s="168" t="s">
        <v>180</v>
      </c>
      <c r="I12" s="168" t="s">
        <v>21</v>
      </c>
      <c r="J12" s="168" t="s">
        <v>52</v>
      </c>
      <c r="K12" s="168" t="s">
        <v>210</v>
      </c>
      <c r="L12" s="168">
        <v>0</v>
      </c>
      <c r="M12" s="169">
        <v>1782</v>
      </c>
      <c r="N12" s="169">
        <v>89148</v>
      </c>
    </row>
    <row r="13" spans="1:16" x14ac:dyDescent="0.2">
      <c r="H13" s="168" t="s">
        <v>180</v>
      </c>
      <c r="I13" s="168" t="s">
        <v>21</v>
      </c>
      <c r="J13" s="168" t="s">
        <v>52</v>
      </c>
      <c r="K13" s="168" t="s">
        <v>72</v>
      </c>
      <c r="L13" s="169">
        <v>2874</v>
      </c>
      <c r="M13" s="168">
        <v>185</v>
      </c>
      <c r="N13" s="169">
        <v>3004</v>
      </c>
      <c r="O13" s="212">
        <f>SUM(L10:N13)</f>
        <v>342676</v>
      </c>
      <c r="P13" s="201" t="s">
        <v>52</v>
      </c>
    </row>
    <row r="14" spans="1:16" x14ac:dyDescent="0.2">
      <c r="H14" s="229" t="s">
        <v>180</v>
      </c>
      <c r="I14" s="229" t="s">
        <v>21</v>
      </c>
      <c r="J14" s="229" t="s">
        <v>52</v>
      </c>
      <c r="K14" s="229" t="s">
        <v>240</v>
      </c>
      <c r="L14" s="229">
        <v>21</v>
      </c>
      <c r="M14" s="230">
        <v>1239</v>
      </c>
      <c r="N14" s="230">
        <v>9238</v>
      </c>
      <c r="O14" s="231">
        <f>SUM(L14:N14)</f>
        <v>10498</v>
      </c>
      <c r="P14" s="232" t="s">
        <v>254</v>
      </c>
    </row>
    <row r="15" spans="1:16" x14ac:dyDescent="0.2">
      <c r="H15" s="193" t="s">
        <v>180</v>
      </c>
      <c r="I15" s="193" t="s">
        <v>21</v>
      </c>
      <c r="J15" s="193" t="s">
        <v>55</v>
      </c>
      <c r="K15" s="193" t="s">
        <v>182</v>
      </c>
      <c r="L15" s="193">
        <v>0</v>
      </c>
      <c r="M15" s="193">
        <v>0</v>
      </c>
      <c r="N15" s="193">
        <v>151</v>
      </c>
      <c r="O15" s="63"/>
      <c r="P15" s="4"/>
    </row>
    <row r="16" spans="1:16" x14ac:dyDescent="0.2">
      <c r="A16" s="59" t="s">
        <v>79</v>
      </c>
      <c r="B16" s="204" t="s">
        <v>80</v>
      </c>
      <c r="D16" s="205" t="s">
        <v>184</v>
      </c>
      <c r="E16" s="206"/>
      <c r="F16" s="207" t="s">
        <v>185</v>
      </c>
      <c r="H16" s="193" t="s">
        <v>180</v>
      </c>
      <c r="I16" s="193" t="s">
        <v>21</v>
      </c>
      <c r="J16" s="193" t="s">
        <v>55</v>
      </c>
      <c r="K16" s="193" t="s">
        <v>54</v>
      </c>
      <c r="L16" s="193">
        <v>0</v>
      </c>
      <c r="M16" s="192">
        <v>2552</v>
      </c>
      <c r="N16" s="192">
        <v>3891</v>
      </c>
      <c r="O16" s="63"/>
      <c r="P16" s="4"/>
    </row>
    <row r="17" spans="1:16" x14ac:dyDescent="0.2">
      <c r="A17" s="58" t="s">
        <v>38</v>
      </c>
      <c r="B17" s="209">
        <f>SUM(D10:F10)</f>
        <v>662397</v>
      </c>
      <c r="D17" s="515" t="s">
        <v>42</v>
      </c>
      <c r="E17" s="515"/>
      <c r="F17" s="98">
        <f>O27/B21</f>
        <v>0.34450998079137307</v>
      </c>
      <c r="H17" s="193" t="s">
        <v>180</v>
      </c>
      <c r="I17" s="193" t="s">
        <v>21</v>
      </c>
      <c r="J17" s="193" t="s">
        <v>55</v>
      </c>
      <c r="K17" s="193" t="s">
        <v>66</v>
      </c>
      <c r="L17" s="193">
        <v>219</v>
      </c>
      <c r="M17" s="193">
        <v>0</v>
      </c>
      <c r="N17" s="192">
        <v>1818</v>
      </c>
      <c r="O17" s="63"/>
      <c r="P17" s="4"/>
    </row>
    <row r="18" spans="1:16" x14ac:dyDescent="0.2">
      <c r="A18" s="58" t="s">
        <v>39</v>
      </c>
      <c r="B18" s="209">
        <f>SUM(D11:F11)</f>
        <v>160390</v>
      </c>
      <c r="D18" s="505" t="s">
        <v>78</v>
      </c>
      <c r="E18" s="505"/>
      <c r="F18" s="98">
        <f>O21/B21</f>
        <v>7.5304833250021866E-2</v>
      </c>
      <c r="H18" s="193" t="s">
        <v>180</v>
      </c>
      <c r="I18" s="193" t="s">
        <v>21</v>
      </c>
      <c r="J18" s="193" t="s">
        <v>55</v>
      </c>
      <c r="K18" s="193" t="s">
        <v>68</v>
      </c>
      <c r="L18" s="193">
        <v>0</v>
      </c>
      <c r="M18" s="193">
        <v>0</v>
      </c>
      <c r="N18" s="193">
        <v>99</v>
      </c>
      <c r="O18" s="63"/>
      <c r="P18" s="4"/>
    </row>
    <row r="19" spans="1:16" x14ac:dyDescent="0.2">
      <c r="A19" s="58" t="s">
        <v>2</v>
      </c>
      <c r="B19" s="218">
        <f>'Sundry Debtors'!C183</f>
        <v>30880.829999999998</v>
      </c>
      <c r="C19" s="58"/>
      <c r="D19" t="s">
        <v>253</v>
      </c>
      <c r="F19" s="64">
        <f>O14/B21</f>
        <v>1.2145306408854214E-2</v>
      </c>
      <c r="H19" s="193" t="s">
        <v>180</v>
      </c>
      <c r="I19" s="193" t="s">
        <v>21</v>
      </c>
      <c r="J19" s="193" t="s">
        <v>55</v>
      </c>
      <c r="K19" s="193" t="s">
        <v>69</v>
      </c>
      <c r="L19" s="193">
        <v>669</v>
      </c>
      <c r="M19" s="193">
        <v>0</v>
      </c>
      <c r="N19" s="192">
        <v>8605</v>
      </c>
      <c r="O19" s="63"/>
      <c r="P19" s="4"/>
    </row>
    <row r="20" spans="1:16" x14ac:dyDescent="0.2">
      <c r="A20" s="58" t="s">
        <v>3</v>
      </c>
      <c r="B20" s="209">
        <f>SUM(D9:F9)</f>
        <v>10699</v>
      </c>
      <c r="D20" s="503" t="s">
        <v>81</v>
      </c>
      <c r="E20" s="503"/>
      <c r="F20" s="219">
        <f>(O13+'Sundry Debtors'!C172)/B21</f>
        <v>0.42076525541823495</v>
      </c>
      <c r="H20" s="193" t="s">
        <v>180</v>
      </c>
      <c r="I20" s="193" t="s">
        <v>21</v>
      </c>
      <c r="J20" s="193" t="s">
        <v>55</v>
      </c>
      <c r="K20" s="193" t="s">
        <v>183</v>
      </c>
      <c r="L20" s="193">
        <v>356</v>
      </c>
      <c r="M20" s="192">
        <v>1030</v>
      </c>
      <c r="N20" s="192">
        <v>19258</v>
      </c>
      <c r="O20" s="63"/>
      <c r="P20" s="4"/>
    </row>
    <row r="21" spans="1:16" ht="13.5" thickBot="1" x14ac:dyDescent="0.25">
      <c r="A21" s="4"/>
      <c r="B21" s="210">
        <f>SUM(B17:B20)</f>
        <v>864366.83</v>
      </c>
      <c r="F21" s="208">
        <f>SUM(F17:F20)</f>
        <v>0.85272537586848407</v>
      </c>
      <c r="H21" s="193" t="s">
        <v>180</v>
      </c>
      <c r="I21" s="193" t="s">
        <v>21</v>
      </c>
      <c r="J21" s="193" t="s">
        <v>55</v>
      </c>
      <c r="K21" s="193" t="s">
        <v>72</v>
      </c>
      <c r="L21" s="193">
        <v>0</v>
      </c>
      <c r="M21" s="192">
        <v>1314</v>
      </c>
      <c r="N21" s="192">
        <v>25129</v>
      </c>
      <c r="O21" s="213">
        <f>SUM(L15:N21)</f>
        <v>65091</v>
      </c>
      <c r="P21" s="202" t="s">
        <v>55</v>
      </c>
    </row>
    <row r="22" spans="1:16" x14ac:dyDescent="0.2">
      <c r="H22" s="203" t="s">
        <v>180</v>
      </c>
      <c r="I22" s="203" t="s">
        <v>43</v>
      </c>
      <c r="J22" s="203" t="s">
        <v>21</v>
      </c>
      <c r="K22" s="203" t="s">
        <v>21</v>
      </c>
      <c r="L22" s="197">
        <v>4273</v>
      </c>
      <c r="M22" s="197">
        <v>10527</v>
      </c>
      <c r="N22" s="197">
        <v>79776</v>
      </c>
      <c r="O22" s="63"/>
      <c r="P22" s="4"/>
    </row>
    <row r="23" spans="1:16" x14ac:dyDescent="0.2">
      <c r="H23" s="203" t="s">
        <v>180</v>
      </c>
      <c r="I23" s="203" t="s">
        <v>43</v>
      </c>
      <c r="J23" s="203" t="s">
        <v>52</v>
      </c>
      <c r="K23" s="203" t="s">
        <v>178</v>
      </c>
      <c r="L23" s="203">
        <v>0</v>
      </c>
      <c r="M23" s="203">
        <v>0</v>
      </c>
      <c r="N23" s="197">
        <v>1066</v>
      </c>
      <c r="O23" s="63"/>
      <c r="P23" s="4"/>
    </row>
    <row r="24" spans="1:16" x14ac:dyDescent="0.2">
      <c r="H24" s="203" t="s">
        <v>180</v>
      </c>
      <c r="I24" s="203" t="s">
        <v>45</v>
      </c>
      <c r="J24" s="203" t="s">
        <v>21</v>
      </c>
      <c r="K24" s="203" t="s">
        <v>21</v>
      </c>
      <c r="L24" s="197">
        <v>4837</v>
      </c>
      <c r="M24" s="197">
        <v>15548</v>
      </c>
      <c r="N24" s="197">
        <v>113478</v>
      </c>
      <c r="O24" s="63"/>
      <c r="P24" s="4"/>
    </row>
    <row r="25" spans="1:16" x14ac:dyDescent="0.2">
      <c r="H25" s="203" t="s">
        <v>180</v>
      </c>
      <c r="I25" s="203" t="s">
        <v>46</v>
      </c>
      <c r="J25" s="203" t="s">
        <v>21</v>
      </c>
      <c r="K25" s="203" t="s">
        <v>21</v>
      </c>
      <c r="L25" s="197">
        <v>7062</v>
      </c>
      <c r="M25" s="197">
        <v>5369</v>
      </c>
      <c r="N25" s="197">
        <v>40160</v>
      </c>
      <c r="O25" s="63"/>
      <c r="P25" s="4"/>
    </row>
    <row r="26" spans="1:16" x14ac:dyDescent="0.2">
      <c r="H26" s="203" t="s">
        <v>180</v>
      </c>
      <c r="I26" s="203" t="s">
        <v>46</v>
      </c>
      <c r="J26" s="203" t="s">
        <v>52</v>
      </c>
      <c r="K26" s="203" t="s">
        <v>178</v>
      </c>
      <c r="L26" s="203">
        <v>41</v>
      </c>
      <c r="M26" s="203">
        <v>0</v>
      </c>
      <c r="N26" s="203">
        <v>956</v>
      </c>
      <c r="O26" s="63"/>
      <c r="P26" s="4"/>
    </row>
    <row r="27" spans="1:16" x14ac:dyDescent="0.2">
      <c r="H27" s="203" t="s">
        <v>180</v>
      </c>
      <c r="I27" s="203" t="s">
        <v>50</v>
      </c>
      <c r="J27" s="203" t="s">
        <v>21</v>
      </c>
      <c r="K27" s="203" t="s">
        <v>21</v>
      </c>
      <c r="L27" s="197">
        <v>1760</v>
      </c>
      <c r="M27" s="197">
        <v>3726</v>
      </c>
      <c r="N27" s="197">
        <v>9204</v>
      </c>
      <c r="O27" s="214">
        <f>SUM(L22:N27)</f>
        <v>297783</v>
      </c>
      <c r="P27" s="77" t="s">
        <v>84</v>
      </c>
    </row>
  </sheetData>
  <mergeCells count="13">
    <mergeCell ref="A1:F1"/>
    <mergeCell ref="A2:F2"/>
    <mergeCell ref="A3:F3"/>
    <mergeCell ref="A4:F4"/>
    <mergeCell ref="H1:N1"/>
    <mergeCell ref="H2:N2"/>
    <mergeCell ref="H3:N3"/>
    <mergeCell ref="H4:N4"/>
    <mergeCell ref="D17:E17"/>
    <mergeCell ref="D18:E18"/>
    <mergeCell ref="D20:E20"/>
    <mergeCell ref="H5:N5"/>
    <mergeCell ref="A5:F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P28"/>
  <sheetViews>
    <sheetView workbookViewId="0">
      <selection sqref="A1:F1"/>
    </sheetView>
  </sheetViews>
  <sheetFormatPr defaultRowHeight="12.75" x14ac:dyDescent="0.2"/>
  <cols>
    <col min="1" max="7" width="10.7109375" customWidth="1"/>
    <col min="9" max="9" width="21.85546875" bestFit="1" customWidth="1"/>
    <col min="10" max="10" width="12.28515625" bestFit="1" customWidth="1"/>
    <col min="11" max="11" width="36.7109375" bestFit="1" customWidth="1"/>
    <col min="12" max="14" width="10.7109375" customWidth="1"/>
    <col min="15" max="15" width="12.28515625" bestFit="1" customWidth="1"/>
    <col min="16" max="16" width="21.7109375" bestFit="1" customWidth="1"/>
  </cols>
  <sheetData>
    <row r="1" spans="1:16" ht="13.5" thickBot="1" x14ac:dyDescent="0.25">
      <c r="A1" s="516" t="s">
        <v>77</v>
      </c>
      <c r="B1" s="517"/>
      <c r="C1" s="517"/>
      <c r="D1" s="517"/>
      <c r="E1" s="517"/>
      <c r="F1" s="518"/>
      <c r="H1" s="516" t="s">
        <v>186</v>
      </c>
      <c r="I1" s="519"/>
      <c r="J1" s="519"/>
      <c r="K1" s="519"/>
      <c r="L1" s="519"/>
      <c r="M1" s="519"/>
      <c r="N1" s="520"/>
    </row>
    <row r="2" spans="1:16" x14ac:dyDescent="0.2">
      <c r="A2" s="504" t="s">
        <v>73</v>
      </c>
      <c r="B2" s="505"/>
      <c r="C2" s="505"/>
      <c r="D2" s="505"/>
      <c r="E2" s="505"/>
      <c r="F2" s="506"/>
      <c r="H2" s="521" t="s">
        <v>73</v>
      </c>
      <c r="I2" s="522"/>
      <c r="J2" s="522"/>
      <c r="K2" s="522"/>
      <c r="L2" s="522"/>
      <c r="M2" s="522"/>
      <c r="N2" s="523"/>
    </row>
    <row r="3" spans="1:16" x14ac:dyDescent="0.2">
      <c r="A3" s="504" t="s">
        <v>74</v>
      </c>
      <c r="B3" s="505"/>
      <c r="C3" s="505"/>
      <c r="D3" s="505"/>
      <c r="E3" s="505"/>
      <c r="F3" s="506"/>
      <c r="H3" s="504" t="s">
        <v>83</v>
      </c>
      <c r="I3" s="507"/>
      <c r="J3" s="507"/>
      <c r="K3" s="507"/>
      <c r="L3" s="507"/>
      <c r="M3" s="507"/>
      <c r="N3" s="508"/>
    </row>
    <row r="4" spans="1:16" x14ac:dyDescent="0.2">
      <c r="A4" s="504" t="s">
        <v>92</v>
      </c>
      <c r="B4" s="505"/>
      <c r="C4" s="505"/>
      <c r="D4" s="505"/>
      <c r="E4" s="505"/>
      <c r="F4" s="506"/>
      <c r="H4" s="504" t="s">
        <v>92</v>
      </c>
      <c r="I4" s="507"/>
      <c r="J4" s="507"/>
      <c r="K4" s="507"/>
      <c r="L4" s="507"/>
      <c r="M4" s="507"/>
      <c r="N4" s="508"/>
    </row>
    <row r="5" spans="1:16" ht="13.5" thickBot="1" x14ac:dyDescent="0.25">
      <c r="A5" s="509" t="s">
        <v>76</v>
      </c>
      <c r="B5" s="510"/>
      <c r="C5" s="510"/>
      <c r="D5" s="510"/>
      <c r="E5" s="510"/>
      <c r="F5" s="511"/>
      <c r="H5" s="509" t="s">
        <v>76</v>
      </c>
      <c r="I5" s="512"/>
      <c r="J5" s="512"/>
      <c r="K5" s="512"/>
      <c r="L5" s="512"/>
      <c r="M5" s="512"/>
      <c r="N5" s="513"/>
    </row>
    <row r="6" spans="1:16" x14ac:dyDescent="0.2">
      <c r="G6" s="211"/>
    </row>
    <row r="8" spans="1:16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  <c r="H8" s="200" t="s">
        <v>32</v>
      </c>
      <c r="I8" s="200" t="s">
        <v>42</v>
      </c>
      <c r="J8" s="200" t="s">
        <v>51</v>
      </c>
      <c r="K8" s="200" t="s">
        <v>57</v>
      </c>
      <c r="L8" s="200" t="s">
        <v>34</v>
      </c>
      <c r="M8" s="200" t="s">
        <v>35</v>
      </c>
      <c r="N8" s="200" t="s">
        <v>103</v>
      </c>
    </row>
    <row r="9" spans="1:16" x14ac:dyDescent="0.2">
      <c r="A9" s="113" t="s">
        <v>180</v>
      </c>
      <c r="B9" s="113" t="s">
        <v>38</v>
      </c>
      <c r="C9" s="113" t="s">
        <v>3</v>
      </c>
      <c r="D9" s="113">
        <v>0</v>
      </c>
      <c r="E9" s="113">
        <v>0</v>
      </c>
      <c r="F9" s="114">
        <v>9669</v>
      </c>
      <c r="H9" s="113" t="s">
        <v>180</v>
      </c>
      <c r="I9" s="113" t="s">
        <v>21</v>
      </c>
      <c r="J9" s="113" t="s">
        <v>21</v>
      </c>
      <c r="K9" s="113" t="s">
        <v>21</v>
      </c>
      <c r="L9" s="114">
        <v>27872</v>
      </c>
      <c r="M9" s="114">
        <v>28730</v>
      </c>
      <c r="N9" s="114">
        <v>100299</v>
      </c>
    </row>
    <row r="10" spans="1:16" x14ac:dyDescent="0.2">
      <c r="A10" s="113" t="s">
        <v>180</v>
      </c>
      <c r="B10" s="113" t="s">
        <v>38</v>
      </c>
      <c r="C10" s="113" t="s">
        <v>41</v>
      </c>
      <c r="D10" s="114">
        <v>74020</v>
      </c>
      <c r="E10" s="114">
        <v>122122</v>
      </c>
      <c r="F10" s="114">
        <v>520761</v>
      </c>
      <c r="H10" s="168" t="s">
        <v>180</v>
      </c>
      <c r="I10" s="168" t="s">
        <v>21</v>
      </c>
      <c r="J10" s="168" t="s">
        <v>52</v>
      </c>
      <c r="K10" s="168" t="s">
        <v>209</v>
      </c>
      <c r="L10" s="168">
        <v>0</v>
      </c>
      <c r="M10" s="169">
        <v>27166</v>
      </c>
      <c r="N10" s="169">
        <v>61161</v>
      </c>
      <c r="O10" s="62"/>
    </row>
    <row r="11" spans="1:16" x14ac:dyDescent="0.2">
      <c r="A11" s="113" t="s">
        <v>180</v>
      </c>
      <c r="B11" s="113" t="s">
        <v>39</v>
      </c>
      <c r="C11" s="113" t="s">
        <v>41</v>
      </c>
      <c r="D11" s="114">
        <v>18952</v>
      </c>
      <c r="E11" s="114">
        <v>25485</v>
      </c>
      <c r="F11" s="114">
        <v>125962</v>
      </c>
      <c r="H11" s="168" t="s">
        <v>180</v>
      </c>
      <c r="I11" s="168" t="s">
        <v>21</v>
      </c>
      <c r="J11" s="168" t="s">
        <v>52</v>
      </c>
      <c r="K11" s="168" t="s">
        <v>178</v>
      </c>
      <c r="L11" s="169">
        <v>15365</v>
      </c>
      <c r="M11" s="169">
        <v>25282</v>
      </c>
      <c r="N11" s="169">
        <v>102200</v>
      </c>
      <c r="O11" s="62"/>
    </row>
    <row r="12" spans="1:16" x14ac:dyDescent="0.2">
      <c r="H12" s="168" t="s">
        <v>180</v>
      </c>
      <c r="I12" s="168" t="s">
        <v>21</v>
      </c>
      <c r="J12" s="168" t="s">
        <v>52</v>
      </c>
      <c r="K12" s="168" t="s">
        <v>210</v>
      </c>
      <c r="L12" s="169">
        <v>1790</v>
      </c>
      <c r="M12" s="169">
        <v>4334</v>
      </c>
      <c r="N12" s="169">
        <v>86392</v>
      </c>
      <c r="O12" s="62"/>
    </row>
    <row r="13" spans="1:16" x14ac:dyDescent="0.2">
      <c r="H13" s="168" t="s">
        <v>180</v>
      </c>
      <c r="I13" s="168" t="s">
        <v>21</v>
      </c>
      <c r="J13" s="168" t="s">
        <v>52</v>
      </c>
      <c r="K13" s="168" t="s">
        <v>72</v>
      </c>
      <c r="L13" s="168">
        <v>839</v>
      </c>
      <c r="M13" s="168">
        <v>183</v>
      </c>
      <c r="N13" s="169">
        <v>6693</v>
      </c>
      <c r="O13" s="212">
        <f>SUM(L10:N13)</f>
        <v>331405</v>
      </c>
      <c r="P13" s="201" t="s">
        <v>52</v>
      </c>
    </row>
    <row r="14" spans="1:16" x14ac:dyDescent="0.2">
      <c r="H14" s="193" t="s">
        <v>180</v>
      </c>
      <c r="I14" s="193" t="s">
        <v>21</v>
      </c>
      <c r="J14" s="193" t="s">
        <v>55</v>
      </c>
      <c r="K14" s="193" t="s">
        <v>182</v>
      </c>
      <c r="L14" s="193">
        <v>0</v>
      </c>
      <c r="M14" s="192">
        <v>3073</v>
      </c>
      <c r="N14" s="192">
        <v>5519</v>
      </c>
      <c r="O14" s="62"/>
    </row>
    <row r="15" spans="1:16" x14ac:dyDescent="0.2">
      <c r="H15" s="193" t="s">
        <v>180</v>
      </c>
      <c r="I15" s="193" t="s">
        <v>21</v>
      </c>
      <c r="J15" s="193" t="s">
        <v>55</v>
      </c>
      <c r="K15" s="193" t="s">
        <v>54</v>
      </c>
      <c r="L15" s="193">
        <v>0</v>
      </c>
      <c r="M15" s="192">
        <v>2768</v>
      </c>
      <c r="N15" s="192">
        <v>4541</v>
      </c>
      <c r="O15" s="62"/>
    </row>
    <row r="16" spans="1:16" x14ac:dyDescent="0.2">
      <c r="A16" s="59" t="s">
        <v>79</v>
      </c>
      <c r="B16" s="204" t="s">
        <v>80</v>
      </c>
      <c r="D16" s="205" t="s">
        <v>184</v>
      </c>
      <c r="E16" s="206"/>
      <c r="F16" s="207" t="s">
        <v>185</v>
      </c>
      <c r="H16" s="193" t="s">
        <v>180</v>
      </c>
      <c r="I16" s="193" t="s">
        <v>21</v>
      </c>
      <c r="J16" s="193" t="s">
        <v>55</v>
      </c>
      <c r="K16" s="193" t="s">
        <v>67</v>
      </c>
      <c r="L16" s="193">
        <v>454</v>
      </c>
      <c r="M16" s="193">
        <v>0</v>
      </c>
      <c r="N16" s="193">
        <v>304</v>
      </c>
      <c r="O16" s="62"/>
    </row>
    <row r="17" spans="1:16" x14ac:dyDescent="0.2">
      <c r="A17" s="58" t="s">
        <v>38</v>
      </c>
      <c r="B17" s="209">
        <f>SUM(D10:F10)</f>
        <v>716903</v>
      </c>
      <c r="D17" s="515" t="s">
        <v>42</v>
      </c>
      <c r="E17" s="515"/>
      <c r="F17" s="98">
        <f>O28/B21</f>
        <v>0.34073114706520324</v>
      </c>
      <c r="H17" s="193" t="s">
        <v>180</v>
      </c>
      <c r="I17" s="193" t="s">
        <v>21</v>
      </c>
      <c r="J17" s="193" t="s">
        <v>55</v>
      </c>
      <c r="K17" s="193" t="s">
        <v>68</v>
      </c>
      <c r="L17" s="192">
        <v>2205</v>
      </c>
      <c r="M17" s="193">
        <v>0</v>
      </c>
      <c r="N17" s="192">
        <v>7620</v>
      </c>
      <c r="O17" s="62"/>
    </row>
    <row r="18" spans="1:16" x14ac:dyDescent="0.2">
      <c r="A18" s="58" t="s">
        <v>39</v>
      </c>
      <c r="B18" s="209">
        <f>SUM(D11:F11)</f>
        <v>170399</v>
      </c>
      <c r="D18" s="505" t="s">
        <v>78</v>
      </c>
      <c r="E18" s="505"/>
      <c r="F18" s="98">
        <f>O20/B21</f>
        <v>8.974442920280376E-2</v>
      </c>
      <c r="H18" s="193" t="s">
        <v>180</v>
      </c>
      <c r="I18" s="193" t="s">
        <v>21</v>
      </c>
      <c r="J18" s="193" t="s">
        <v>55</v>
      </c>
      <c r="K18" s="193" t="s">
        <v>69</v>
      </c>
      <c r="L18" s="193">
        <v>0</v>
      </c>
      <c r="M18" s="193">
        <v>158</v>
      </c>
      <c r="N18" s="193">
        <v>612</v>
      </c>
      <c r="O18" s="62"/>
    </row>
    <row r="19" spans="1:16" x14ac:dyDescent="0.2">
      <c r="A19" s="58" t="s">
        <v>2</v>
      </c>
      <c r="B19" s="218">
        <f>'Sundry Debtors'!C144</f>
        <v>52358.12</v>
      </c>
      <c r="C19" s="58"/>
      <c r="D19" s="503" t="s">
        <v>81</v>
      </c>
      <c r="E19" s="503"/>
      <c r="F19" s="219">
        <f>(O13+'Sundry Debtors'!C133)/B21</f>
        <v>0.37092541730943634</v>
      </c>
      <c r="H19" s="193" t="s">
        <v>180</v>
      </c>
      <c r="I19" s="193" t="s">
        <v>21</v>
      </c>
      <c r="J19" s="193" t="s">
        <v>55</v>
      </c>
      <c r="K19" s="193" t="s">
        <v>183</v>
      </c>
      <c r="L19" s="192">
        <v>4996</v>
      </c>
      <c r="M19" s="192">
        <v>2402</v>
      </c>
      <c r="N19" s="192">
        <v>22617</v>
      </c>
      <c r="O19" s="62"/>
    </row>
    <row r="20" spans="1:16" ht="13.5" thickBot="1" x14ac:dyDescent="0.25">
      <c r="A20" s="58" t="s">
        <v>3</v>
      </c>
      <c r="B20" s="209">
        <f>SUM(D9:F9)</f>
        <v>9669</v>
      </c>
      <c r="F20" s="208">
        <f>SUM(F17:F19)</f>
        <v>0.80140099357744332</v>
      </c>
      <c r="H20" s="193" t="s">
        <v>180</v>
      </c>
      <c r="I20" s="193" t="s">
        <v>21</v>
      </c>
      <c r="J20" s="193" t="s">
        <v>55</v>
      </c>
      <c r="K20" s="193" t="s">
        <v>72</v>
      </c>
      <c r="L20" s="192">
        <v>1326</v>
      </c>
      <c r="M20" s="192">
        <v>1320</v>
      </c>
      <c r="N20" s="192">
        <v>25282</v>
      </c>
      <c r="O20" s="213">
        <f>SUM(L14:N20)</f>
        <v>85197</v>
      </c>
      <c r="P20" s="202" t="s">
        <v>85</v>
      </c>
    </row>
    <row r="21" spans="1:16" ht="13.5" thickBot="1" x14ac:dyDescent="0.25">
      <c r="A21" s="4"/>
      <c r="B21" s="210">
        <f>SUM(B17:B20)</f>
        <v>949329.12</v>
      </c>
      <c r="H21" s="203" t="s">
        <v>180</v>
      </c>
      <c r="I21" s="203" t="s">
        <v>43</v>
      </c>
      <c r="J21" s="203" t="s">
        <v>21</v>
      </c>
      <c r="K21" s="203" t="s">
        <v>21</v>
      </c>
      <c r="L21" s="197">
        <v>12312</v>
      </c>
      <c r="M21" s="197">
        <v>27663</v>
      </c>
      <c r="N21" s="197">
        <v>71066</v>
      </c>
      <c r="O21" s="62"/>
    </row>
    <row r="22" spans="1:16" x14ac:dyDescent="0.2">
      <c r="H22" s="203" t="s">
        <v>180</v>
      </c>
      <c r="I22" s="203" t="s">
        <v>43</v>
      </c>
      <c r="J22" s="203" t="s">
        <v>55</v>
      </c>
      <c r="K22" s="203" t="s">
        <v>183</v>
      </c>
      <c r="L22" s="203">
        <v>400</v>
      </c>
      <c r="M22" s="203">
        <v>0</v>
      </c>
      <c r="N22" s="203">
        <v>863</v>
      </c>
      <c r="O22" s="62"/>
    </row>
    <row r="23" spans="1:16" x14ac:dyDescent="0.2">
      <c r="H23" s="203" t="s">
        <v>180</v>
      </c>
      <c r="I23" s="203" t="s">
        <v>45</v>
      </c>
      <c r="J23" s="203" t="s">
        <v>21</v>
      </c>
      <c r="K23" s="203" t="s">
        <v>21</v>
      </c>
      <c r="L23" s="197">
        <v>15923</v>
      </c>
      <c r="M23" s="197">
        <v>12186</v>
      </c>
      <c r="N23" s="197">
        <v>114784</v>
      </c>
      <c r="O23" s="62"/>
    </row>
    <row r="24" spans="1:16" x14ac:dyDescent="0.2">
      <c r="H24" s="203" t="s">
        <v>180</v>
      </c>
      <c r="I24" s="203" t="s">
        <v>46</v>
      </c>
      <c r="J24" s="203" t="s">
        <v>21</v>
      </c>
      <c r="K24" s="203" t="s">
        <v>21</v>
      </c>
      <c r="L24" s="197">
        <v>5332</v>
      </c>
      <c r="M24" s="197">
        <v>6118</v>
      </c>
      <c r="N24" s="197">
        <v>34589</v>
      </c>
      <c r="O24" s="62"/>
    </row>
    <row r="25" spans="1:16" x14ac:dyDescent="0.2">
      <c r="H25" s="203" t="s">
        <v>180</v>
      </c>
      <c r="I25" s="203" t="s">
        <v>50</v>
      </c>
      <c r="J25" s="203" t="s">
        <v>21</v>
      </c>
      <c r="K25" s="203" t="s">
        <v>21</v>
      </c>
      <c r="L25" s="197">
        <v>3794</v>
      </c>
      <c r="M25" s="197">
        <v>5931</v>
      </c>
      <c r="N25" s="197">
        <v>10871</v>
      </c>
      <c r="O25" s="62"/>
    </row>
    <row r="26" spans="1:16" x14ac:dyDescent="0.2">
      <c r="H26" s="203" t="s">
        <v>180</v>
      </c>
      <c r="I26" s="203" t="s">
        <v>50</v>
      </c>
      <c r="J26" s="203" t="s">
        <v>52</v>
      </c>
      <c r="K26" s="203" t="s">
        <v>178</v>
      </c>
      <c r="L26" s="203">
        <v>0</v>
      </c>
      <c r="M26" s="203">
        <v>291</v>
      </c>
      <c r="N26" s="203">
        <v>0</v>
      </c>
      <c r="O26" s="62"/>
    </row>
    <row r="27" spans="1:16" x14ac:dyDescent="0.2">
      <c r="H27" s="203" t="s">
        <v>180</v>
      </c>
      <c r="I27" s="203" t="s">
        <v>50</v>
      </c>
      <c r="J27" s="203" t="s">
        <v>55</v>
      </c>
      <c r="K27" s="203" t="s">
        <v>68</v>
      </c>
      <c r="L27" s="203">
        <v>364</v>
      </c>
      <c r="M27" s="203">
        <v>0</v>
      </c>
      <c r="N27" s="203">
        <v>979</v>
      </c>
      <c r="O27" s="62"/>
    </row>
    <row r="28" spans="1:16" x14ac:dyDescent="0.2">
      <c r="H28" s="203" t="s">
        <v>180</v>
      </c>
      <c r="I28" s="203" t="s">
        <v>50</v>
      </c>
      <c r="J28" s="203" t="s">
        <v>55</v>
      </c>
      <c r="K28" s="203" t="s">
        <v>72</v>
      </c>
      <c r="L28" s="203">
        <v>0</v>
      </c>
      <c r="M28" s="203">
        <v>0</v>
      </c>
      <c r="N28" s="203">
        <v>0</v>
      </c>
      <c r="O28" s="214">
        <f>SUM(L21:N28)</f>
        <v>323466</v>
      </c>
      <c r="P28" s="77" t="s">
        <v>84</v>
      </c>
    </row>
  </sheetData>
  <mergeCells count="13">
    <mergeCell ref="D17:E17"/>
    <mergeCell ref="D18:E18"/>
    <mergeCell ref="D19:E19"/>
    <mergeCell ref="H5:N5"/>
    <mergeCell ref="A5:F5"/>
    <mergeCell ref="H1:N1"/>
    <mergeCell ref="H2:N2"/>
    <mergeCell ref="H3:N3"/>
    <mergeCell ref="H4:N4"/>
    <mergeCell ref="A1:F1"/>
    <mergeCell ref="A2:F2"/>
    <mergeCell ref="A3:F3"/>
    <mergeCell ref="A4:F4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P38"/>
  <sheetViews>
    <sheetView workbookViewId="0">
      <selection sqref="A1:F1"/>
    </sheetView>
  </sheetViews>
  <sheetFormatPr defaultRowHeight="12.75" x14ac:dyDescent="0.2"/>
  <cols>
    <col min="1" max="7" width="10.7109375" customWidth="1"/>
    <col min="9" max="9" width="21.85546875" bestFit="1" customWidth="1"/>
    <col min="10" max="10" width="12.28515625" bestFit="1" customWidth="1"/>
    <col min="11" max="11" width="36.7109375" bestFit="1" customWidth="1"/>
    <col min="12" max="14" width="10.7109375" customWidth="1"/>
    <col min="15" max="15" width="12.28515625" bestFit="1" customWidth="1"/>
    <col min="16" max="16" width="21.7109375" bestFit="1" customWidth="1"/>
  </cols>
  <sheetData>
    <row r="1" spans="1:16" ht="13.5" thickBot="1" x14ac:dyDescent="0.25">
      <c r="A1" s="516" t="s">
        <v>77</v>
      </c>
      <c r="B1" s="517"/>
      <c r="C1" s="517"/>
      <c r="D1" s="517"/>
      <c r="E1" s="517"/>
      <c r="F1" s="518"/>
      <c r="H1" s="516" t="s">
        <v>186</v>
      </c>
      <c r="I1" s="519"/>
      <c r="J1" s="519"/>
      <c r="K1" s="519"/>
      <c r="L1" s="519"/>
      <c r="M1" s="519"/>
      <c r="N1" s="520"/>
    </row>
    <row r="2" spans="1:16" x14ac:dyDescent="0.2">
      <c r="A2" s="504" t="s">
        <v>73</v>
      </c>
      <c r="B2" s="505"/>
      <c r="C2" s="505"/>
      <c r="D2" s="505"/>
      <c r="E2" s="505"/>
      <c r="F2" s="506"/>
      <c r="H2" s="521" t="s">
        <v>73</v>
      </c>
      <c r="I2" s="522"/>
      <c r="J2" s="522"/>
      <c r="K2" s="522"/>
      <c r="L2" s="522"/>
      <c r="M2" s="522"/>
      <c r="N2" s="523"/>
    </row>
    <row r="3" spans="1:16" x14ac:dyDescent="0.2">
      <c r="A3" s="504" t="s">
        <v>74</v>
      </c>
      <c r="B3" s="505"/>
      <c r="C3" s="505"/>
      <c r="D3" s="505"/>
      <c r="E3" s="505"/>
      <c r="F3" s="506"/>
      <c r="H3" s="504" t="s">
        <v>83</v>
      </c>
      <c r="I3" s="507"/>
      <c r="J3" s="507"/>
      <c r="K3" s="507"/>
      <c r="L3" s="507"/>
      <c r="M3" s="507"/>
      <c r="N3" s="508"/>
    </row>
    <row r="4" spans="1:16" x14ac:dyDescent="0.2">
      <c r="A4" s="504" t="s">
        <v>92</v>
      </c>
      <c r="B4" s="505"/>
      <c r="C4" s="505"/>
      <c r="D4" s="505"/>
      <c r="E4" s="505"/>
      <c r="F4" s="506"/>
      <c r="H4" s="504" t="s">
        <v>92</v>
      </c>
      <c r="I4" s="507"/>
      <c r="J4" s="507"/>
      <c r="K4" s="507"/>
      <c r="L4" s="507"/>
      <c r="M4" s="507"/>
      <c r="N4" s="508"/>
    </row>
    <row r="5" spans="1:16" ht="13.5" thickBot="1" x14ac:dyDescent="0.25">
      <c r="A5" s="509" t="s">
        <v>76</v>
      </c>
      <c r="B5" s="510"/>
      <c r="C5" s="510"/>
      <c r="D5" s="510"/>
      <c r="E5" s="510"/>
      <c r="F5" s="511"/>
      <c r="H5" s="509" t="s">
        <v>76</v>
      </c>
      <c r="I5" s="512"/>
      <c r="J5" s="512"/>
      <c r="K5" s="512"/>
      <c r="L5" s="512"/>
      <c r="M5" s="512"/>
      <c r="N5" s="513"/>
    </row>
    <row r="6" spans="1:16" x14ac:dyDescent="0.2">
      <c r="G6" s="211"/>
    </row>
    <row r="8" spans="1:16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  <c r="H8" s="200" t="s">
        <v>32</v>
      </c>
      <c r="I8" s="200" t="s">
        <v>42</v>
      </c>
      <c r="J8" s="200" t="s">
        <v>51</v>
      </c>
      <c r="K8" s="200" t="s">
        <v>57</v>
      </c>
      <c r="L8" s="200" t="s">
        <v>34</v>
      </c>
      <c r="M8" s="200" t="s">
        <v>35</v>
      </c>
      <c r="N8" s="200" t="s">
        <v>103</v>
      </c>
    </row>
    <row r="9" spans="1:16" x14ac:dyDescent="0.2">
      <c r="A9" s="113" t="s">
        <v>180</v>
      </c>
      <c r="B9" s="113" t="s">
        <v>38</v>
      </c>
      <c r="C9" s="113" t="s">
        <v>3</v>
      </c>
      <c r="D9" s="113">
        <v>0</v>
      </c>
      <c r="E9" s="113">
        <v>689</v>
      </c>
      <c r="F9" s="114">
        <v>10127</v>
      </c>
      <c r="H9" s="113" t="s">
        <v>180</v>
      </c>
      <c r="I9" s="113" t="s">
        <v>21</v>
      </c>
      <c r="J9" s="113" t="s">
        <v>21</v>
      </c>
      <c r="K9" s="113" t="s">
        <v>21</v>
      </c>
      <c r="L9" s="114">
        <v>70478</v>
      </c>
      <c r="M9" s="114">
        <v>18854</v>
      </c>
      <c r="N9" s="114">
        <v>153005</v>
      </c>
    </row>
    <row r="10" spans="1:16" x14ac:dyDescent="0.2">
      <c r="A10" s="113" t="s">
        <v>180</v>
      </c>
      <c r="B10" s="113" t="s">
        <v>38</v>
      </c>
      <c r="C10" s="113" t="s">
        <v>41</v>
      </c>
      <c r="D10" s="114">
        <v>148318</v>
      </c>
      <c r="E10" s="114">
        <v>29306</v>
      </c>
      <c r="F10" s="114">
        <v>541586</v>
      </c>
      <c r="H10" s="168" t="s">
        <v>180</v>
      </c>
      <c r="I10" s="168" t="s">
        <v>21</v>
      </c>
      <c r="J10" s="168" t="s">
        <v>52</v>
      </c>
      <c r="K10" s="168" t="s">
        <v>178</v>
      </c>
      <c r="L10" s="169">
        <v>17510</v>
      </c>
      <c r="M10" s="169">
        <v>2388</v>
      </c>
      <c r="N10" s="169">
        <v>132812</v>
      </c>
    </row>
    <row r="11" spans="1:16" x14ac:dyDescent="0.2">
      <c r="A11" s="113" t="s">
        <v>180</v>
      </c>
      <c r="B11" s="113" t="s">
        <v>39</v>
      </c>
      <c r="C11" s="113" t="s">
        <v>41</v>
      </c>
      <c r="D11" s="114">
        <v>31336</v>
      </c>
      <c r="E11" s="114">
        <v>9268</v>
      </c>
      <c r="F11" s="114">
        <v>132095</v>
      </c>
      <c r="H11" s="168" t="s">
        <v>180</v>
      </c>
      <c r="I11" s="168" t="s">
        <v>21</v>
      </c>
      <c r="J11" s="168" t="s">
        <v>52</v>
      </c>
      <c r="K11" s="168" t="s">
        <v>72</v>
      </c>
      <c r="L11" s="169">
        <v>25483</v>
      </c>
      <c r="M11" s="168">
        <v>0</v>
      </c>
      <c r="N11" s="169">
        <v>103922</v>
      </c>
      <c r="O11" s="216">
        <f>SUM(L10:N11)</f>
        <v>282115</v>
      </c>
      <c r="P11" s="201" t="s">
        <v>52</v>
      </c>
    </row>
    <row r="12" spans="1:16" x14ac:dyDescent="0.2">
      <c r="H12" s="113" t="s">
        <v>180</v>
      </c>
      <c r="I12" s="113" t="s">
        <v>21</v>
      </c>
      <c r="J12" s="113" t="s">
        <v>53</v>
      </c>
      <c r="K12" s="113" t="s">
        <v>42</v>
      </c>
      <c r="L12" s="113">
        <v>234</v>
      </c>
      <c r="M12" s="113">
        <v>0</v>
      </c>
      <c r="N12" s="113">
        <v>228</v>
      </c>
    </row>
    <row r="13" spans="1:16" x14ac:dyDescent="0.2">
      <c r="H13" s="193" t="s">
        <v>180</v>
      </c>
      <c r="I13" s="193" t="s">
        <v>21</v>
      </c>
      <c r="J13" s="193" t="s">
        <v>55</v>
      </c>
      <c r="K13" s="193" t="s">
        <v>182</v>
      </c>
      <c r="L13" s="193">
        <v>0</v>
      </c>
      <c r="M13" s="193">
        <v>0</v>
      </c>
      <c r="N13" s="193">
        <v>0</v>
      </c>
    </row>
    <row r="14" spans="1:16" x14ac:dyDescent="0.2">
      <c r="H14" s="193" t="s">
        <v>180</v>
      </c>
      <c r="I14" s="193" t="s">
        <v>21</v>
      </c>
      <c r="J14" s="193" t="s">
        <v>55</v>
      </c>
      <c r="K14" s="193" t="s">
        <v>54</v>
      </c>
      <c r="L14" s="193">
        <v>0</v>
      </c>
      <c r="M14" s="193">
        <v>0</v>
      </c>
      <c r="N14" s="192">
        <v>16927</v>
      </c>
    </row>
    <row r="15" spans="1:16" x14ac:dyDescent="0.2">
      <c r="H15" s="193" t="s">
        <v>180</v>
      </c>
      <c r="I15" s="193" t="s">
        <v>21</v>
      </c>
      <c r="J15" s="193" t="s">
        <v>55</v>
      </c>
      <c r="K15" s="193" t="s">
        <v>66</v>
      </c>
      <c r="L15" s="193">
        <v>0</v>
      </c>
      <c r="M15" s="193">
        <v>0</v>
      </c>
      <c r="N15" s="192">
        <v>2569</v>
      </c>
    </row>
    <row r="16" spans="1:16" x14ac:dyDescent="0.2">
      <c r="A16" s="59" t="s">
        <v>79</v>
      </c>
      <c r="B16" s="204" t="s">
        <v>80</v>
      </c>
      <c r="D16" s="205" t="s">
        <v>184</v>
      </c>
      <c r="E16" s="206"/>
      <c r="F16" s="207" t="s">
        <v>185</v>
      </c>
      <c r="H16" s="193" t="s">
        <v>180</v>
      </c>
      <c r="I16" s="193" t="s">
        <v>21</v>
      </c>
      <c r="J16" s="193" t="s">
        <v>55</v>
      </c>
      <c r="K16" s="193" t="s">
        <v>68</v>
      </c>
      <c r="L16" s="193">
        <v>292</v>
      </c>
      <c r="M16" s="193">
        <v>0</v>
      </c>
      <c r="N16" s="192">
        <v>2881</v>
      </c>
    </row>
    <row r="17" spans="1:16" x14ac:dyDescent="0.2">
      <c r="A17" s="58" t="s">
        <v>38</v>
      </c>
      <c r="B17" s="209">
        <f>SUM(D10:F10)</f>
        <v>719210</v>
      </c>
      <c r="D17" s="515" t="s">
        <v>42</v>
      </c>
      <c r="E17" s="515"/>
      <c r="F17" s="98">
        <f>O31/B21</f>
        <v>0.34167973893252307</v>
      </c>
      <c r="H17" s="193" t="s">
        <v>180</v>
      </c>
      <c r="I17" s="193" t="s">
        <v>21</v>
      </c>
      <c r="J17" s="193" t="s">
        <v>55</v>
      </c>
      <c r="K17" s="193" t="s">
        <v>183</v>
      </c>
      <c r="L17" s="192">
        <v>1972</v>
      </c>
      <c r="M17" s="193">
        <v>349</v>
      </c>
      <c r="N17" s="192">
        <v>16680</v>
      </c>
    </row>
    <row r="18" spans="1:16" x14ac:dyDescent="0.2">
      <c r="A18" s="58" t="s">
        <v>39</v>
      </c>
      <c r="B18" s="209">
        <f>SUM(D11:F11)</f>
        <v>172699</v>
      </c>
      <c r="D18" s="505" t="s">
        <v>78</v>
      </c>
      <c r="E18" s="505"/>
      <c r="F18" s="98">
        <f>O18/B21</f>
        <v>5.818845092763212E-2</v>
      </c>
      <c r="H18" s="193" t="s">
        <v>180</v>
      </c>
      <c r="I18" s="193" t="s">
        <v>21</v>
      </c>
      <c r="J18" s="193" t="s">
        <v>55</v>
      </c>
      <c r="K18" s="193" t="s">
        <v>72</v>
      </c>
      <c r="L18" s="193">
        <v>77</v>
      </c>
      <c r="M18" s="193">
        <v>0</v>
      </c>
      <c r="N18" s="192">
        <v>13232</v>
      </c>
      <c r="O18" s="213">
        <f>SUM(L13:N18)</f>
        <v>54979</v>
      </c>
      <c r="P18" s="202" t="s">
        <v>85</v>
      </c>
    </row>
    <row r="19" spans="1:16" x14ac:dyDescent="0.2">
      <c r="A19" s="58" t="s">
        <v>2</v>
      </c>
      <c r="B19" s="215">
        <f>'Sundry Debtors'!C109</f>
        <v>42118.850000000006</v>
      </c>
      <c r="D19" s="505" t="s">
        <v>81</v>
      </c>
      <c r="E19" s="505"/>
      <c r="F19" s="98">
        <f>(O11+'Sundry Debtors'!C98)/B21</f>
        <v>0.3308245695836407</v>
      </c>
      <c r="H19" s="203" t="s">
        <v>180</v>
      </c>
      <c r="I19" s="203" t="s">
        <v>43</v>
      </c>
      <c r="J19" s="203" t="s">
        <v>21</v>
      </c>
      <c r="K19" s="203" t="s">
        <v>21</v>
      </c>
      <c r="L19" s="197">
        <v>27629</v>
      </c>
      <c r="M19" s="197">
        <v>4970</v>
      </c>
      <c r="N19" s="197">
        <v>64651</v>
      </c>
    </row>
    <row r="20" spans="1:16" ht="13.5" thickBot="1" x14ac:dyDescent="0.25">
      <c r="A20" s="58" t="s">
        <v>3</v>
      </c>
      <c r="B20" s="209">
        <f>SUM(D9:F9)</f>
        <v>10816</v>
      </c>
      <c r="F20" s="208">
        <f>SUM(F17:F19)</f>
        <v>0.73069275944379597</v>
      </c>
      <c r="H20" s="203" t="s">
        <v>180</v>
      </c>
      <c r="I20" s="203" t="s">
        <v>43</v>
      </c>
      <c r="J20" s="203" t="s">
        <v>52</v>
      </c>
      <c r="K20" s="203" t="s">
        <v>178</v>
      </c>
      <c r="L20" s="197">
        <v>3171</v>
      </c>
      <c r="M20" s="203">
        <v>0</v>
      </c>
      <c r="N20" s="203">
        <v>0</v>
      </c>
    </row>
    <row r="21" spans="1:16" ht="13.5" thickBot="1" x14ac:dyDescent="0.25">
      <c r="A21" s="4"/>
      <c r="B21" s="210">
        <f>SUM(B17:B20)</f>
        <v>944843.85</v>
      </c>
      <c r="H21" s="203" t="s">
        <v>180</v>
      </c>
      <c r="I21" s="203" t="s">
        <v>43</v>
      </c>
      <c r="J21" s="203" t="s">
        <v>55</v>
      </c>
      <c r="K21" s="203" t="s">
        <v>66</v>
      </c>
      <c r="L21" s="203">
        <v>0</v>
      </c>
      <c r="M21" s="203">
        <v>80</v>
      </c>
      <c r="N21" s="203">
        <v>525</v>
      </c>
    </row>
    <row r="22" spans="1:16" x14ac:dyDescent="0.2">
      <c r="H22" s="203" t="s">
        <v>180</v>
      </c>
      <c r="I22" s="203" t="s">
        <v>43</v>
      </c>
      <c r="J22" s="203" t="s">
        <v>55</v>
      </c>
      <c r="K22" s="203" t="s">
        <v>183</v>
      </c>
      <c r="L22" s="203">
        <v>0</v>
      </c>
      <c r="M22" s="203">
        <v>0</v>
      </c>
      <c r="N22" s="203">
        <v>549</v>
      </c>
    </row>
    <row r="23" spans="1:16" x14ac:dyDescent="0.2">
      <c r="H23" s="203" t="s">
        <v>180</v>
      </c>
      <c r="I23" s="203" t="s">
        <v>45</v>
      </c>
      <c r="J23" s="203" t="s">
        <v>21</v>
      </c>
      <c r="K23" s="203" t="s">
        <v>21</v>
      </c>
      <c r="L23" s="197">
        <v>13331</v>
      </c>
      <c r="M23" s="197">
        <v>5960</v>
      </c>
      <c r="N23" s="197">
        <v>120500</v>
      </c>
    </row>
    <row r="24" spans="1:16" x14ac:dyDescent="0.2">
      <c r="H24" s="203" t="s">
        <v>180</v>
      </c>
      <c r="I24" s="203" t="s">
        <v>45</v>
      </c>
      <c r="J24" s="203" t="s">
        <v>55</v>
      </c>
      <c r="K24" s="203" t="s">
        <v>183</v>
      </c>
      <c r="L24" s="203">
        <v>0</v>
      </c>
      <c r="M24" s="203">
        <v>0</v>
      </c>
      <c r="N24" s="203">
        <v>276</v>
      </c>
    </row>
    <row r="25" spans="1:16" x14ac:dyDescent="0.2">
      <c r="H25" s="203" t="s">
        <v>180</v>
      </c>
      <c r="I25" s="203" t="s">
        <v>45</v>
      </c>
      <c r="J25" s="203" t="s">
        <v>55</v>
      </c>
      <c r="K25" s="203" t="s">
        <v>72</v>
      </c>
      <c r="L25" s="203">
        <v>0</v>
      </c>
      <c r="M25" s="203">
        <v>0</v>
      </c>
      <c r="N25" s="197">
        <v>1175</v>
      </c>
    </row>
    <row r="26" spans="1:16" x14ac:dyDescent="0.2">
      <c r="H26" s="203" t="s">
        <v>180</v>
      </c>
      <c r="I26" s="203" t="s">
        <v>46</v>
      </c>
      <c r="J26" s="203" t="s">
        <v>21</v>
      </c>
      <c r="K26" s="203" t="s">
        <v>21</v>
      </c>
      <c r="L26" s="197">
        <v>8102</v>
      </c>
      <c r="M26" s="197">
        <v>5838</v>
      </c>
      <c r="N26" s="197">
        <v>35505</v>
      </c>
    </row>
    <row r="27" spans="1:16" x14ac:dyDescent="0.2">
      <c r="H27" s="203" t="s">
        <v>180</v>
      </c>
      <c r="I27" s="203" t="s">
        <v>46</v>
      </c>
      <c r="J27" s="203" t="s">
        <v>55</v>
      </c>
      <c r="K27" s="203" t="s">
        <v>183</v>
      </c>
      <c r="L27" s="203">
        <v>0</v>
      </c>
      <c r="M27" s="203">
        <v>0</v>
      </c>
      <c r="N27" s="197">
        <v>1717</v>
      </c>
    </row>
    <row r="28" spans="1:16" x14ac:dyDescent="0.2">
      <c r="H28" s="203" t="s">
        <v>180</v>
      </c>
      <c r="I28" s="203" t="s">
        <v>50</v>
      </c>
      <c r="J28" s="203" t="s">
        <v>21</v>
      </c>
      <c r="K28" s="203" t="s">
        <v>21</v>
      </c>
      <c r="L28" s="197">
        <v>11216</v>
      </c>
      <c r="M28" s="203">
        <v>825</v>
      </c>
      <c r="N28" s="197">
        <v>15811</v>
      </c>
    </row>
    <row r="29" spans="1:16" x14ac:dyDescent="0.2">
      <c r="H29" s="203" t="s">
        <v>180</v>
      </c>
      <c r="I29" s="203" t="s">
        <v>50</v>
      </c>
      <c r="J29" s="203" t="s">
        <v>55</v>
      </c>
      <c r="K29" s="203" t="s">
        <v>68</v>
      </c>
      <c r="L29" s="203">
        <v>0</v>
      </c>
      <c r="M29" s="203">
        <v>0</v>
      </c>
      <c r="N29" s="203">
        <v>126</v>
      </c>
    </row>
    <row r="30" spans="1:16" x14ac:dyDescent="0.2">
      <c r="H30" s="203" t="s">
        <v>180</v>
      </c>
      <c r="I30" s="203" t="s">
        <v>50</v>
      </c>
      <c r="J30" s="203" t="s">
        <v>55</v>
      </c>
      <c r="K30" s="203" t="s">
        <v>183</v>
      </c>
      <c r="L30" s="203">
        <v>0</v>
      </c>
      <c r="M30" s="203">
        <v>0</v>
      </c>
      <c r="N30" s="203">
        <v>50</v>
      </c>
    </row>
    <row r="31" spans="1:16" x14ac:dyDescent="0.2">
      <c r="H31" s="203" t="s">
        <v>180</v>
      </c>
      <c r="I31" s="203" t="s">
        <v>106</v>
      </c>
      <c r="J31" s="203" t="s">
        <v>55</v>
      </c>
      <c r="K31" s="203" t="s">
        <v>182</v>
      </c>
      <c r="L31" s="203">
        <v>158</v>
      </c>
      <c r="M31" s="203">
        <v>0</v>
      </c>
      <c r="N31" s="203">
        <v>669</v>
      </c>
      <c r="O31" s="214">
        <f>SUM(L19:N31)</f>
        <v>322834</v>
      </c>
      <c r="P31" s="77" t="s">
        <v>84</v>
      </c>
    </row>
    <row r="34" spans="8:9" x14ac:dyDescent="0.2">
      <c r="H34" s="209">
        <v>83997.38</v>
      </c>
      <c r="I34" t="s">
        <v>195</v>
      </c>
    </row>
    <row r="35" spans="8:9" x14ac:dyDescent="0.2">
      <c r="H35" s="209">
        <v>30794.2</v>
      </c>
      <c r="I35" t="s">
        <v>196</v>
      </c>
    </row>
    <row r="36" spans="8:9" x14ac:dyDescent="0.2">
      <c r="H36" s="209">
        <v>26739.54</v>
      </c>
      <c r="I36" t="s">
        <v>197</v>
      </c>
    </row>
    <row r="37" spans="8:9" x14ac:dyDescent="0.2">
      <c r="H37" s="209">
        <v>6547.98</v>
      </c>
      <c r="I37" t="s">
        <v>198</v>
      </c>
    </row>
    <row r="38" spans="8:9" x14ac:dyDescent="0.2">
      <c r="H38" s="217">
        <v>148079.1</v>
      </c>
    </row>
  </sheetData>
  <mergeCells count="13">
    <mergeCell ref="A1:F1"/>
    <mergeCell ref="A2:F2"/>
    <mergeCell ref="A3:F3"/>
    <mergeCell ref="A4:F4"/>
    <mergeCell ref="H1:N1"/>
    <mergeCell ref="H2:N2"/>
    <mergeCell ref="H3:N3"/>
    <mergeCell ref="H4:N4"/>
    <mergeCell ref="D17:E17"/>
    <mergeCell ref="D18:E18"/>
    <mergeCell ref="D19:E19"/>
    <mergeCell ref="H5:N5"/>
    <mergeCell ref="A5:F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P28"/>
  <sheetViews>
    <sheetView workbookViewId="0">
      <selection sqref="A1:F1"/>
    </sheetView>
  </sheetViews>
  <sheetFormatPr defaultRowHeight="12.75" x14ac:dyDescent="0.2"/>
  <cols>
    <col min="1" max="7" width="10.7109375" customWidth="1"/>
    <col min="9" max="9" width="21.85546875" bestFit="1" customWidth="1"/>
    <col min="10" max="10" width="12.28515625" bestFit="1" customWidth="1"/>
    <col min="11" max="11" width="36.7109375" bestFit="1" customWidth="1"/>
    <col min="12" max="14" width="10.7109375" customWidth="1"/>
    <col min="15" max="15" width="12.28515625" bestFit="1" customWidth="1"/>
    <col min="16" max="16" width="21.7109375" bestFit="1" customWidth="1"/>
  </cols>
  <sheetData>
    <row r="1" spans="1:16" ht="13.5" thickBot="1" x14ac:dyDescent="0.25">
      <c r="A1" s="516" t="s">
        <v>77</v>
      </c>
      <c r="B1" s="517"/>
      <c r="C1" s="517"/>
      <c r="D1" s="517"/>
      <c r="E1" s="517"/>
      <c r="F1" s="518"/>
      <c r="H1" s="516" t="s">
        <v>186</v>
      </c>
      <c r="I1" s="519"/>
      <c r="J1" s="519"/>
      <c r="K1" s="519"/>
      <c r="L1" s="519"/>
      <c r="M1" s="519"/>
      <c r="N1" s="520"/>
    </row>
    <row r="2" spans="1:16" x14ac:dyDescent="0.2">
      <c r="A2" s="504" t="s">
        <v>73</v>
      </c>
      <c r="B2" s="505"/>
      <c r="C2" s="505"/>
      <c r="D2" s="505"/>
      <c r="E2" s="505"/>
      <c r="F2" s="506"/>
      <c r="H2" s="521" t="s">
        <v>73</v>
      </c>
      <c r="I2" s="522"/>
      <c r="J2" s="522"/>
      <c r="K2" s="522"/>
      <c r="L2" s="522"/>
      <c r="M2" s="522"/>
      <c r="N2" s="523"/>
    </row>
    <row r="3" spans="1:16" x14ac:dyDescent="0.2">
      <c r="A3" s="504" t="s">
        <v>74</v>
      </c>
      <c r="B3" s="505"/>
      <c r="C3" s="505"/>
      <c r="D3" s="505"/>
      <c r="E3" s="505"/>
      <c r="F3" s="506"/>
      <c r="H3" s="504" t="s">
        <v>83</v>
      </c>
      <c r="I3" s="507"/>
      <c r="J3" s="507"/>
      <c r="K3" s="507"/>
      <c r="L3" s="507"/>
      <c r="M3" s="507"/>
      <c r="N3" s="508"/>
    </row>
    <row r="4" spans="1:16" x14ac:dyDescent="0.2">
      <c r="A4" s="504" t="s">
        <v>92</v>
      </c>
      <c r="B4" s="505"/>
      <c r="C4" s="505"/>
      <c r="D4" s="505"/>
      <c r="E4" s="505"/>
      <c r="F4" s="506"/>
      <c r="H4" s="504" t="s">
        <v>92</v>
      </c>
      <c r="I4" s="507"/>
      <c r="J4" s="507"/>
      <c r="K4" s="507"/>
      <c r="L4" s="507"/>
      <c r="M4" s="507"/>
      <c r="N4" s="508"/>
    </row>
    <row r="5" spans="1:16" ht="13.5" thickBot="1" x14ac:dyDescent="0.25">
      <c r="A5" s="509" t="s">
        <v>76</v>
      </c>
      <c r="B5" s="510"/>
      <c r="C5" s="510"/>
      <c r="D5" s="510"/>
      <c r="E5" s="510"/>
      <c r="F5" s="511"/>
      <c r="H5" s="509" t="s">
        <v>76</v>
      </c>
      <c r="I5" s="512"/>
      <c r="J5" s="512"/>
      <c r="K5" s="512"/>
      <c r="L5" s="512"/>
      <c r="M5" s="512"/>
      <c r="N5" s="513"/>
    </row>
    <row r="6" spans="1:16" x14ac:dyDescent="0.2">
      <c r="G6" s="211"/>
    </row>
    <row r="8" spans="1:16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  <c r="H8" s="200" t="s">
        <v>32</v>
      </c>
      <c r="I8" s="200" t="s">
        <v>42</v>
      </c>
      <c r="J8" s="200" t="s">
        <v>51</v>
      </c>
      <c r="K8" s="200" t="s">
        <v>57</v>
      </c>
      <c r="L8" s="200" t="s">
        <v>34</v>
      </c>
      <c r="M8" s="200" t="s">
        <v>35</v>
      </c>
      <c r="N8" s="200" t="s">
        <v>103</v>
      </c>
    </row>
    <row r="9" spans="1:16" x14ac:dyDescent="0.2">
      <c r="A9" s="113" t="s">
        <v>180</v>
      </c>
      <c r="B9" s="113" t="s">
        <v>38</v>
      </c>
      <c r="C9" s="113" t="s">
        <v>3</v>
      </c>
      <c r="D9" s="113">
        <v>728</v>
      </c>
      <c r="E9" s="113">
        <v>0</v>
      </c>
      <c r="F9" s="114">
        <v>10344</v>
      </c>
      <c r="H9" s="113" t="s">
        <v>180</v>
      </c>
      <c r="I9" s="113" t="s">
        <v>21</v>
      </c>
      <c r="J9" s="113" t="s">
        <v>21</v>
      </c>
      <c r="K9" s="113" t="s">
        <v>21</v>
      </c>
      <c r="L9" s="114">
        <v>23564</v>
      </c>
      <c r="M9" s="114">
        <v>23313</v>
      </c>
      <c r="N9" s="114">
        <v>273534</v>
      </c>
    </row>
    <row r="10" spans="1:16" x14ac:dyDescent="0.2">
      <c r="A10" s="113" t="s">
        <v>180</v>
      </c>
      <c r="B10" s="113" t="s">
        <v>38</v>
      </c>
      <c r="C10" s="113" t="s">
        <v>41</v>
      </c>
      <c r="D10" s="114">
        <v>40878</v>
      </c>
      <c r="E10" s="114">
        <v>62540</v>
      </c>
      <c r="F10" s="114">
        <v>572989</v>
      </c>
      <c r="H10" s="113" t="s">
        <v>180</v>
      </c>
      <c r="I10" s="113" t="s">
        <v>21</v>
      </c>
      <c r="J10" s="113" t="s">
        <v>52</v>
      </c>
      <c r="K10" s="113" t="s">
        <v>178</v>
      </c>
      <c r="L10" s="169">
        <v>2802</v>
      </c>
      <c r="M10" s="168">
        <v>747</v>
      </c>
      <c r="N10" s="169">
        <v>76182</v>
      </c>
    </row>
    <row r="11" spans="1:16" x14ac:dyDescent="0.2">
      <c r="A11" s="113" t="s">
        <v>180</v>
      </c>
      <c r="B11" s="113" t="s">
        <v>39</v>
      </c>
      <c r="C11" s="113" t="s">
        <v>41</v>
      </c>
      <c r="D11" s="114">
        <v>10799</v>
      </c>
      <c r="E11" s="114">
        <v>4849</v>
      </c>
      <c r="F11" s="114">
        <v>145326</v>
      </c>
      <c r="H11" s="113" t="s">
        <v>180</v>
      </c>
      <c r="I11" s="113" t="s">
        <v>21</v>
      </c>
      <c r="J11" s="113" t="s">
        <v>52</v>
      </c>
      <c r="K11" s="113" t="s">
        <v>181</v>
      </c>
      <c r="L11" s="168">
        <v>241</v>
      </c>
      <c r="M11" s="168">
        <v>0</v>
      </c>
      <c r="N11" s="169">
        <v>12768</v>
      </c>
    </row>
    <row r="12" spans="1:16" x14ac:dyDescent="0.2">
      <c r="H12" s="113" t="s">
        <v>180</v>
      </c>
      <c r="I12" s="113" t="s">
        <v>21</v>
      </c>
      <c r="J12" s="113" t="s">
        <v>52</v>
      </c>
      <c r="K12" s="113" t="s">
        <v>72</v>
      </c>
      <c r="L12" s="168">
        <v>39</v>
      </c>
      <c r="M12" s="169">
        <v>2520</v>
      </c>
      <c r="N12" s="169">
        <v>47979</v>
      </c>
      <c r="O12" s="212">
        <f>SUM(L10:N12)</f>
        <v>143278</v>
      </c>
      <c r="P12" s="201" t="s">
        <v>52</v>
      </c>
    </row>
    <row r="13" spans="1:16" x14ac:dyDescent="0.2">
      <c r="H13" s="113" t="s">
        <v>180</v>
      </c>
      <c r="I13" s="113" t="s">
        <v>21</v>
      </c>
      <c r="J13" s="113" t="s">
        <v>55</v>
      </c>
      <c r="K13" s="113" t="s">
        <v>182</v>
      </c>
      <c r="L13" s="192">
        <v>1626</v>
      </c>
      <c r="M13" s="193">
        <v>3</v>
      </c>
      <c r="N13" s="192">
        <v>10568</v>
      </c>
      <c r="O13" s="62"/>
    </row>
    <row r="14" spans="1:16" x14ac:dyDescent="0.2">
      <c r="H14" s="113" t="s">
        <v>180</v>
      </c>
      <c r="I14" s="113" t="s">
        <v>21</v>
      </c>
      <c r="J14" s="113" t="s">
        <v>55</v>
      </c>
      <c r="K14" s="113" t="s">
        <v>66</v>
      </c>
      <c r="L14" s="193">
        <v>445</v>
      </c>
      <c r="M14" s="193">
        <v>0</v>
      </c>
      <c r="N14" s="193">
        <v>538</v>
      </c>
      <c r="O14" s="62"/>
    </row>
    <row r="15" spans="1:16" x14ac:dyDescent="0.2">
      <c r="H15" s="113" t="s">
        <v>180</v>
      </c>
      <c r="I15" s="113" t="s">
        <v>21</v>
      </c>
      <c r="J15" s="113" t="s">
        <v>55</v>
      </c>
      <c r="K15" s="113" t="s">
        <v>68</v>
      </c>
      <c r="L15" s="193">
        <v>216</v>
      </c>
      <c r="M15" s="193">
        <v>0</v>
      </c>
      <c r="N15" s="192">
        <v>2109</v>
      </c>
      <c r="O15" s="62"/>
    </row>
    <row r="16" spans="1:16" x14ac:dyDescent="0.2">
      <c r="A16" s="59" t="s">
        <v>79</v>
      </c>
      <c r="B16" s="204" t="s">
        <v>80</v>
      </c>
      <c r="D16" s="205" t="s">
        <v>184</v>
      </c>
      <c r="E16" s="206"/>
      <c r="F16" s="207" t="s">
        <v>185</v>
      </c>
      <c r="H16" s="113" t="s">
        <v>180</v>
      </c>
      <c r="I16" s="113" t="s">
        <v>21</v>
      </c>
      <c r="J16" s="113" t="s">
        <v>55</v>
      </c>
      <c r="K16" s="113" t="s">
        <v>183</v>
      </c>
      <c r="L16" s="193">
        <v>327</v>
      </c>
      <c r="M16" s="193">
        <v>0</v>
      </c>
      <c r="N16" s="192">
        <v>4409</v>
      </c>
      <c r="O16" s="62"/>
    </row>
    <row r="17" spans="1:16" x14ac:dyDescent="0.2">
      <c r="A17" s="58" t="s">
        <v>38</v>
      </c>
      <c r="B17" s="209">
        <f>SUM(D10:F10)</f>
        <v>676407</v>
      </c>
      <c r="D17" s="515" t="s">
        <v>42</v>
      </c>
      <c r="E17" s="515"/>
      <c r="F17" s="98">
        <f>O28/B21</f>
        <v>0.36079489132324544</v>
      </c>
      <c r="H17" s="113" t="s">
        <v>180</v>
      </c>
      <c r="I17" s="113" t="s">
        <v>21</v>
      </c>
      <c r="J17" s="113" t="s">
        <v>55</v>
      </c>
      <c r="K17" s="113" t="s">
        <v>72</v>
      </c>
      <c r="L17" s="193">
        <v>0</v>
      </c>
      <c r="M17" s="192">
        <v>6502</v>
      </c>
      <c r="N17" s="192">
        <v>38581</v>
      </c>
      <c r="O17" s="213">
        <f>SUM(L13:N17)</f>
        <v>65324</v>
      </c>
      <c r="P17" s="202" t="s">
        <v>85</v>
      </c>
    </row>
    <row r="18" spans="1:16" x14ac:dyDescent="0.2">
      <c r="A18" s="58" t="s">
        <v>39</v>
      </c>
      <c r="B18" s="209">
        <f>SUM(D11:F11)</f>
        <v>160974</v>
      </c>
      <c r="D18" s="505" t="s">
        <v>78</v>
      </c>
      <c r="E18" s="505"/>
      <c r="F18" s="98">
        <f>O17/B21</f>
        <v>7.3780883673928391E-2</v>
      </c>
      <c r="H18" s="113" t="s">
        <v>180</v>
      </c>
      <c r="I18" s="113" t="s">
        <v>43</v>
      </c>
      <c r="J18" s="113" t="s">
        <v>21</v>
      </c>
      <c r="K18" s="113" t="s">
        <v>21</v>
      </c>
      <c r="L18" s="197">
        <v>7319</v>
      </c>
      <c r="M18" s="197">
        <v>6485</v>
      </c>
      <c r="N18" s="197">
        <v>65864</v>
      </c>
      <c r="O18" s="62"/>
    </row>
    <row r="19" spans="1:16" x14ac:dyDescent="0.2">
      <c r="A19" s="58" t="s">
        <v>2</v>
      </c>
      <c r="B19" s="215">
        <f>'Sundry Debtors'!C85</f>
        <v>36925.39</v>
      </c>
      <c r="D19" s="505" t="s">
        <v>81</v>
      </c>
      <c r="E19" s="505"/>
      <c r="F19" s="98">
        <f>(O12+'Sundry Debtors'!C78)/B21</f>
        <v>0.19590079446145056</v>
      </c>
      <c r="H19" s="113" t="s">
        <v>180</v>
      </c>
      <c r="I19" s="113" t="s">
        <v>43</v>
      </c>
      <c r="J19" s="113" t="s">
        <v>52</v>
      </c>
      <c r="K19" s="113" t="s">
        <v>178</v>
      </c>
      <c r="L19" s="203">
        <v>0</v>
      </c>
      <c r="M19" s="203">
        <v>197</v>
      </c>
      <c r="N19" s="197">
        <v>2892</v>
      </c>
      <c r="O19" s="62"/>
    </row>
    <row r="20" spans="1:16" ht="13.5" thickBot="1" x14ac:dyDescent="0.25">
      <c r="A20" s="58" t="s">
        <v>3</v>
      </c>
      <c r="B20" s="209">
        <f>SUM(D9:F9)</f>
        <v>11072</v>
      </c>
      <c r="F20" s="208">
        <f>SUM(F17:F19)</f>
        <v>0.6304765694586244</v>
      </c>
      <c r="H20" s="113" t="s">
        <v>180</v>
      </c>
      <c r="I20" s="113" t="s">
        <v>43</v>
      </c>
      <c r="J20" s="113" t="s">
        <v>55</v>
      </c>
      <c r="K20" s="113" t="s">
        <v>182</v>
      </c>
      <c r="L20" s="203">
        <v>0</v>
      </c>
      <c r="M20" s="203">
        <v>0</v>
      </c>
      <c r="N20" s="203">
        <v>748</v>
      </c>
      <c r="O20" s="62"/>
    </row>
    <row r="21" spans="1:16" ht="13.5" thickBot="1" x14ac:dyDescent="0.25">
      <c r="A21" s="4"/>
      <c r="B21" s="210">
        <f>SUM(B17:B20)</f>
        <v>885378.39</v>
      </c>
      <c r="H21" s="113" t="s">
        <v>180</v>
      </c>
      <c r="I21" s="113" t="s">
        <v>43</v>
      </c>
      <c r="J21" s="113" t="s">
        <v>55</v>
      </c>
      <c r="K21" s="113" t="s">
        <v>72</v>
      </c>
      <c r="L21" s="203">
        <v>0</v>
      </c>
      <c r="M21" s="203">
        <v>0</v>
      </c>
      <c r="N21" s="203">
        <v>97</v>
      </c>
      <c r="O21" s="62"/>
    </row>
    <row r="22" spans="1:16" x14ac:dyDescent="0.2">
      <c r="H22" s="113" t="s">
        <v>180</v>
      </c>
      <c r="I22" s="113" t="s">
        <v>45</v>
      </c>
      <c r="J22" s="113" t="s">
        <v>21</v>
      </c>
      <c r="K22" s="113" t="s">
        <v>21</v>
      </c>
      <c r="L22" s="197">
        <v>7070</v>
      </c>
      <c r="M22" s="197">
        <v>7859</v>
      </c>
      <c r="N22" s="197">
        <v>129353</v>
      </c>
      <c r="O22" s="62"/>
    </row>
    <row r="23" spans="1:16" x14ac:dyDescent="0.2">
      <c r="H23" s="113" t="s">
        <v>180</v>
      </c>
      <c r="I23" s="113" t="s">
        <v>45</v>
      </c>
      <c r="J23" s="113" t="s">
        <v>55</v>
      </c>
      <c r="K23" s="113" t="s">
        <v>182</v>
      </c>
      <c r="L23" s="203">
        <v>162</v>
      </c>
      <c r="M23" s="203">
        <v>0</v>
      </c>
      <c r="N23" s="203">
        <v>54</v>
      </c>
      <c r="O23" s="62"/>
    </row>
    <row r="24" spans="1:16" x14ac:dyDescent="0.2">
      <c r="H24" s="113" t="s">
        <v>180</v>
      </c>
      <c r="I24" s="113" t="s">
        <v>46</v>
      </c>
      <c r="J24" s="113" t="s">
        <v>21</v>
      </c>
      <c r="K24" s="113" t="s">
        <v>21</v>
      </c>
      <c r="L24" s="197">
        <v>6700</v>
      </c>
      <c r="M24" s="197">
        <v>2972</v>
      </c>
      <c r="N24" s="197">
        <v>36249</v>
      </c>
      <c r="O24" s="62"/>
    </row>
    <row r="25" spans="1:16" x14ac:dyDescent="0.2">
      <c r="H25" s="113" t="s">
        <v>180</v>
      </c>
      <c r="I25" s="113" t="s">
        <v>50</v>
      </c>
      <c r="J25" s="113" t="s">
        <v>21</v>
      </c>
      <c r="K25" s="113" t="s">
        <v>21</v>
      </c>
      <c r="L25" s="197">
        <v>1895</v>
      </c>
      <c r="M25" s="197">
        <v>16791</v>
      </c>
      <c r="N25" s="197">
        <v>25767</v>
      </c>
      <c r="O25" s="62"/>
    </row>
    <row r="26" spans="1:16" x14ac:dyDescent="0.2">
      <c r="H26" s="113" t="s">
        <v>180</v>
      </c>
      <c r="I26" s="113" t="s">
        <v>50</v>
      </c>
      <c r="J26" s="113" t="s">
        <v>52</v>
      </c>
      <c r="K26" s="113" t="s">
        <v>178</v>
      </c>
      <c r="L26" s="203">
        <v>0</v>
      </c>
      <c r="M26" s="203">
        <v>0</v>
      </c>
      <c r="N26" s="203">
        <v>3</v>
      </c>
      <c r="O26" s="62"/>
    </row>
    <row r="27" spans="1:16" x14ac:dyDescent="0.2">
      <c r="H27" s="113" t="s">
        <v>180</v>
      </c>
      <c r="I27" s="113" t="s">
        <v>50</v>
      </c>
      <c r="J27" s="113" t="s">
        <v>55</v>
      </c>
      <c r="K27" s="113" t="s">
        <v>182</v>
      </c>
      <c r="L27" s="203">
        <v>0</v>
      </c>
      <c r="M27" s="203">
        <v>0</v>
      </c>
      <c r="N27" s="203">
        <v>294</v>
      </c>
      <c r="O27" s="62"/>
    </row>
    <row r="28" spans="1:16" x14ac:dyDescent="0.2">
      <c r="H28" s="113" t="s">
        <v>180</v>
      </c>
      <c r="I28" s="113" t="s">
        <v>106</v>
      </c>
      <c r="J28" s="113" t="s">
        <v>55</v>
      </c>
      <c r="K28" s="113" t="s">
        <v>182</v>
      </c>
      <c r="L28" s="203">
        <v>0</v>
      </c>
      <c r="M28" s="203">
        <v>0</v>
      </c>
      <c r="N28" s="203">
        <v>669</v>
      </c>
      <c r="O28" s="214">
        <f>SUM(L18:N28)</f>
        <v>319440</v>
      </c>
      <c r="P28" s="77" t="s">
        <v>84</v>
      </c>
    </row>
  </sheetData>
  <mergeCells count="13">
    <mergeCell ref="D17:E17"/>
    <mergeCell ref="D18:E18"/>
    <mergeCell ref="D19:E19"/>
    <mergeCell ref="H5:N5"/>
    <mergeCell ref="A5:F5"/>
    <mergeCell ref="H1:N1"/>
    <mergeCell ref="H2:N2"/>
    <mergeCell ref="H3:N3"/>
    <mergeCell ref="H4:N4"/>
    <mergeCell ref="A1:F1"/>
    <mergeCell ref="A2:F2"/>
    <mergeCell ref="A3:F3"/>
    <mergeCell ref="A4:F4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L33"/>
  <sheetViews>
    <sheetView workbookViewId="0"/>
  </sheetViews>
  <sheetFormatPr defaultRowHeight="12.75" x14ac:dyDescent="0.2"/>
  <cols>
    <col min="1" max="1" width="11.7109375" customWidth="1"/>
    <col min="2" max="2" width="18.140625" customWidth="1"/>
    <col min="3" max="3" width="12.42578125" customWidth="1"/>
    <col min="4" max="4" width="22.85546875" bestFit="1" customWidth="1"/>
    <col min="6" max="6" width="15.5703125" customWidth="1"/>
    <col min="7" max="7" width="10" customWidth="1"/>
    <col min="8" max="8" width="21.85546875" customWidth="1"/>
    <col min="9" max="9" width="12.85546875" customWidth="1"/>
    <col min="10" max="10" width="12.28515625" bestFit="1" customWidth="1"/>
  </cols>
  <sheetData>
    <row r="1" spans="1:11" x14ac:dyDescent="0.2">
      <c r="A1" s="121" t="s">
        <v>77</v>
      </c>
      <c r="B1" s="129"/>
      <c r="C1" s="129"/>
      <c r="D1" s="130"/>
      <c r="H1" s="4" t="s">
        <v>79</v>
      </c>
    </row>
    <row r="2" spans="1:11" x14ac:dyDescent="0.2">
      <c r="A2" s="140" t="s">
        <v>73</v>
      </c>
      <c r="B2" s="141"/>
      <c r="C2" s="141"/>
      <c r="D2" s="142"/>
      <c r="H2" s="4" t="s">
        <v>38</v>
      </c>
      <c r="I2" s="196">
        <f>SUM(D10:F10)</f>
        <v>709189</v>
      </c>
    </row>
    <row r="3" spans="1:11" x14ac:dyDescent="0.2">
      <c r="A3" s="140" t="s">
        <v>74</v>
      </c>
      <c r="B3" s="141"/>
      <c r="C3" s="141"/>
      <c r="D3" s="142"/>
      <c r="H3" s="4" t="s">
        <v>39</v>
      </c>
      <c r="I3" s="196">
        <f>SUM(D11:F11)</f>
        <v>192145</v>
      </c>
    </row>
    <row r="4" spans="1:11" x14ac:dyDescent="0.2">
      <c r="A4" s="140" t="s">
        <v>92</v>
      </c>
      <c r="B4" s="141"/>
      <c r="C4" s="141"/>
      <c r="D4" s="142"/>
      <c r="H4" s="4" t="s">
        <v>2</v>
      </c>
      <c r="I4" s="138">
        <f>'Sundry Debtors'!C64</f>
        <v>47541.37999999999</v>
      </c>
    </row>
    <row r="5" spans="1:11" ht="13.5" thickBot="1" x14ac:dyDescent="0.25">
      <c r="A5" s="143" t="s">
        <v>76</v>
      </c>
      <c r="B5" s="144"/>
      <c r="C5" s="144"/>
      <c r="D5" s="145"/>
      <c r="H5" s="4" t="s">
        <v>3</v>
      </c>
      <c r="I5" s="196">
        <f>SUM(D9:F9)</f>
        <v>10791</v>
      </c>
    </row>
    <row r="6" spans="1:11" s="69" customFormat="1" ht="13.5" thickBot="1" x14ac:dyDescent="0.25">
      <c r="H6" s="152"/>
      <c r="I6" s="183">
        <f>SUM(I2:I5)</f>
        <v>959666.38</v>
      </c>
      <c r="J6" s="184"/>
    </row>
    <row r="7" spans="1:11" s="69" customFormat="1" x14ac:dyDescent="0.2"/>
    <row r="8" spans="1:11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</row>
    <row r="9" spans="1:11" x14ac:dyDescent="0.2">
      <c r="A9" s="113" t="s">
        <v>93</v>
      </c>
      <c r="B9" s="113" t="s">
        <v>38</v>
      </c>
      <c r="C9" s="113" t="s">
        <v>3</v>
      </c>
      <c r="D9" s="113">
        <v>0</v>
      </c>
      <c r="E9" s="113">
        <v>0</v>
      </c>
      <c r="F9" s="114">
        <v>10791</v>
      </c>
    </row>
    <row r="10" spans="1:11" x14ac:dyDescent="0.2">
      <c r="A10" s="113" t="s">
        <v>93</v>
      </c>
      <c r="B10" s="113" t="s">
        <v>38</v>
      </c>
      <c r="C10" s="113" t="s">
        <v>41</v>
      </c>
      <c r="D10" s="114">
        <v>68407</v>
      </c>
      <c r="E10" s="114">
        <v>131567</v>
      </c>
      <c r="F10" s="114">
        <v>509215</v>
      </c>
    </row>
    <row r="11" spans="1:11" x14ac:dyDescent="0.2">
      <c r="A11" s="113" t="s">
        <v>93</v>
      </c>
      <c r="B11" s="113" t="s">
        <v>39</v>
      </c>
      <c r="C11" s="113" t="s">
        <v>41</v>
      </c>
      <c r="D11" s="114">
        <v>5611</v>
      </c>
      <c r="E11" s="114">
        <v>40696</v>
      </c>
      <c r="F11" s="114">
        <v>145838</v>
      </c>
    </row>
    <row r="12" spans="1:11" x14ac:dyDescent="0.2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ht="13.5" thickBot="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">
      <c r="A14" s="121" t="s">
        <v>83</v>
      </c>
      <c r="B14" s="122"/>
      <c r="C14" s="122"/>
      <c r="D14" s="122"/>
      <c r="E14" s="129"/>
      <c r="F14" s="130"/>
      <c r="H14" t="s">
        <v>42</v>
      </c>
      <c r="I14" s="98">
        <f>H33/I6</f>
        <v>0.35837662667728343</v>
      </c>
    </row>
    <row r="15" spans="1:11" x14ac:dyDescent="0.2">
      <c r="A15" s="124" t="s">
        <v>92</v>
      </c>
      <c r="B15" s="59"/>
      <c r="C15" s="59"/>
      <c r="D15" s="59"/>
      <c r="E15" s="60"/>
      <c r="F15" s="132"/>
      <c r="H15" t="s">
        <v>78</v>
      </c>
      <c r="I15" s="98">
        <f>H26/I6</f>
        <v>1.2089618060809841E-2</v>
      </c>
    </row>
    <row r="16" spans="1:11" ht="13.5" thickBot="1" x14ac:dyDescent="0.25">
      <c r="A16" s="126" t="s">
        <v>76</v>
      </c>
      <c r="B16" s="127"/>
      <c r="C16" s="127"/>
      <c r="D16" s="127"/>
      <c r="E16" s="134"/>
      <c r="F16" s="135"/>
      <c r="H16" t="s">
        <v>81</v>
      </c>
      <c r="I16" s="98">
        <f>(H24+'Sundry Debtors'!C58)/I6</f>
        <v>0.26038360331014204</v>
      </c>
    </row>
    <row r="17" spans="1:12" x14ac:dyDescent="0.2">
      <c r="A17" s="69"/>
      <c r="B17" s="69"/>
      <c r="C17" s="69"/>
      <c r="D17" s="69"/>
      <c r="E17" s="69"/>
      <c r="F17" s="69"/>
      <c r="G17" s="69"/>
      <c r="H17" s="69"/>
      <c r="I17" s="182">
        <f>SUM(I14:I16)</f>
        <v>0.6308498480482353</v>
      </c>
      <c r="J17" s="69"/>
      <c r="K17" s="69"/>
      <c r="L17" s="69"/>
    </row>
    <row r="18" spans="1:12" x14ac:dyDescent="0.2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</row>
    <row r="19" spans="1:12" x14ac:dyDescent="0.2">
      <c r="A19" s="175" t="s">
        <v>32</v>
      </c>
      <c r="B19" s="175" t="s">
        <v>42</v>
      </c>
      <c r="C19" s="175" t="s">
        <v>51</v>
      </c>
      <c r="D19" s="175" t="s">
        <v>57</v>
      </c>
      <c r="E19" s="175" t="s">
        <v>34</v>
      </c>
      <c r="F19" s="175" t="s">
        <v>35</v>
      </c>
      <c r="G19" s="175" t="s">
        <v>103</v>
      </c>
      <c r="H19" s="113"/>
    </row>
    <row r="20" spans="1:12" x14ac:dyDescent="0.2">
      <c r="A20" s="113" t="s">
        <v>93</v>
      </c>
      <c r="B20" s="113" t="s">
        <v>21</v>
      </c>
      <c r="C20" s="113" t="s">
        <v>21</v>
      </c>
      <c r="D20" s="113" t="s">
        <v>21</v>
      </c>
      <c r="E20" s="114">
        <v>38008</v>
      </c>
      <c r="F20" s="114">
        <v>89309</v>
      </c>
      <c r="G20" s="114">
        <v>209301</v>
      </c>
      <c r="H20" s="176"/>
    </row>
    <row r="21" spans="1:12" x14ac:dyDescent="0.2">
      <c r="A21" s="113" t="s">
        <v>93</v>
      </c>
      <c r="B21" s="113" t="s">
        <v>21</v>
      </c>
      <c r="C21" s="113" t="s">
        <v>52</v>
      </c>
      <c r="D21" s="113" t="s">
        <v>178</v>
      </c>
      <c r="E21" s="169">
        <v>944</v>
      </c>
      <c r="F21" s="169">
        <v>27891</v>
      </c>
      <c r="G21" s="169">
        <v>136421</v>
      </c>
      <c r="H21" s="176"/>
    </row>
    <row r="22" spans="1:12" x14ac:dyDescent="0.2">
      <c r="A22" s="113" t="s">
        <v>93</v>
      </c>
      <c r="B22" s="113" t="s">
        <v>21</v>
      </c>
      <c r="C22" s="113" t="s">
        <v>52</v>
      </c>
      <c r="D22" s="113" t="s">
        <v>63</v>
      </c>
      <c r="E22" s="169">
        <v>0</v>
      </c>
      <c r="F22" s="169">
        <v>0</v>
      </c>
      <c r="G22" s="169">
        <v>3404</v>
      </c>
      <c r="H22" s="181"/>
    </row>
    <row r="23" spans="1:12" x14ac:dyDescent="0.2">
      <c r="A23" s="113" t="s">
        <v>93</v>
      </c>
      <c r="B23" s="113" t="s">
        <v>21</v>
      </c>
      <c r="C23" s="113" t="s">
        <v>52</v>
      </c>
      <c r="D23" s="113" t="s">
        <v>70</v>
      </c>
      <c r="E23" s="169">
        <v>0</v>
      </c>
      <c r="F23" s="168">
        <v>0</v>
      </c>
      <c r="G23" s="169">
        <v>752</v>
      </c>
      <c r="H23" s="181"/>
    </row>
    <row r="24" spans="1:12" x14ac:dyDescent="0.2">
      <c r="A24" s="113" t="s">
        <v>93</v>
      </c>
      <c r="B24" s="113" t="s">
        <v>21</v>
      </c>
      <c r="C24" s="113" t="s">
        <v>52</v>
      </c>
      <c r="D24" s="113" t="s">
        <v>72</v>
      </c>
      <c r="E24" s="169">
        <v>836</v>
      </c>
      <c r="F24" s="169">
        <v>179</v>
      </c>
      <c r="G24" s="169">
        <v>49556</v>
      </c>
      <c r="H24" s="186">
        <f>SUM(E21:G24)</f>
        <v>219983</v>
      </c>
      <c r="I24" s="81" t="s">
        <v>52</v>
      </c>
    </row>
    <row r="25" spans="1:12" x14ac:dyDescent="0.2">
      <c r="A25" s="113" t="s">
        <v>93</v>
      </c>
      <c r="B25" s="113" t="s">
        <v>21</v>
      </c>
      <c r="C25" s="113" t="s">
        <v>55</v>
      </c>
      <c r="D25" s="113" t="s">
        <v>179</v>
      </c>
      <c r="E25" s="193">
        <v>0</v>
      </c>
      <c r="F25" s="193">
        <v>192</v>
      </c>
      <c r="G25" s="192">
        <v>9557</v>
      </c>
      <c r="H25" s="181"/>
    </row>
    <row r="26" spans="1:12" x14ac:dyDescent="0.2">
      <c r="A26" s="113" t="s">
        <v>93</v>
      </c>
      <c r="B26" s="113" t="s">
        <v>21</v>
      </c>
      <c r="C26" s="113" t="s">
        <v>55</v>
      </c>
      <c r="D26" s="113" t="s">
        <v>72</v>
      </c>
      <c r="E26" s="193">
        <v>0</v>
      </c>
      <c r="F26" s="193">
        <v>0</v>
      </c>
      <c r="G26" s="192">
        <v>1853</v>
      </c>
      <c r="H26" s="194">
        <f>SUM(E25:G26)</f>
        <v>11602</v>
      </c>
      <c r="I26" s="86" t="s">
        <v>85</v>
      </c>
    </row>
    <row r="27" spans="1:12" x14ac:dyDescent="0.2">
      <c r="A27" s="113" t="s">
        <v>93</v>
      </c>
      <c r="B27" s="113" t="s">
        <v>43</v>
      </c>
      <c r="C27" s="113" t="s">
        <v>21</v>
      </c>
      <c r="D27" s="113" t="s">
        <v>21</v>
      </c>
      <c r="E27" s="197">
        <v>7730</v>
      </c>
      <c r="F27" s="197">
        <v>20851</v>
      </c>
      <c r="G27" s="197">
        <v>66032</v>
      </c>
      <c r="H27" s="181"/>
    </row>
    <row r="28" spans="1:12" x14ac:dyDescent="0.2">
      <c r="A28" s="113" t="s">
        <v>93</v>
      </c>
      <c r="B28" s="113" t="s">
        <v>45</v>
      </c>
      <c r="C28" s="113" t="s">
        <v>21</v>
      </c>
      <c r="D28" s="113" t="s">
        <v>21</v>
      </c>
      <c r="E28" s="197">
        <v>7891</v>
      </c>
      <c r="F28" s="197">
        <v>18486</v>
      </c>
      <c r="G28" s="197">
        <v>124361</v>
      </c>
      <c r="H28" s="181"/>
    </row>
    <row r="29" spans="1:12" x14ac:dyDescent="0.2">
      <c r="A29" s="189" t="s">
        <v>93</v>
      </c>
      <c r="B29" s="189" t="s">
        <v>46</v>
      </c>
      <c r="C29" s="189" t="s">
        <v>21</v>
      </c>
      <c r="D29" s="189" t="s">
        <v>21</v>
      </c>
      <c r="E29" s="198">
        <v>3384</v>
      </c>
      <c r="F29" s="198">
        <v>5750</v>
      </c>
      <c r="G29" s="198">
        <v>39548</v>
      </c>
      <c r="H29" s="176"/>
    </row>
    <row r="30" spans="1:12" x14ac:dyDescent="0.2">
      <c r="A30" s="189" t="s">
        <v>93</v>
      </c>
      <c r="B30" s="189" t="s">
        <v>49</v>
      </c>
      <c r="C30" s="189" t="s">
        <v>21</v>
      </c>
      <c r="D30" s="189" t="s">
        <v>21</v>
      </c>
      <c r="E30" s="198">
        <v>0</v>
      </c>
      <c r="F30" s="198">
        <v>0</v>
      </c>
      <c r="G30" s="198">
        <v>0</v>
      </c>
      <c r="H30" s="176"/>
    </row>
    <row r="31" spans="1:12" x14ac:dyDescent="0.2">
      <c r="A31" s="189" t="s">
        <v>93</v>
      </c>
      <c r="B31" s="189" t="s">
        <v>50</v>
      </c>
      <c r="C31" s="189" t="s">
        <v>21</v>
      </c>
      <c r="D31" s="189" t="s">
        <v>21</v>
      </c>
      <c r="E31" s="198">
        <v>15225</v>
      </c>
      <c r="F31" s="198">
        <v>9605</v>
      </c>
      <c r="G31" s="198">
        <v>25058</v>
      </c>
      <c r="H31" s="176"/>
    </row>
    <row r="32" spans="1:12" x14ac:dyDescent="0.2">
      <c r="A32" s="189" t="s">
        <v>93</v>
      </c>
      <c r="B32" s="189" t="s">
        <v>50</v>
      </c>
      <c r="C32" s="189" t="s">
        <v>55</v>
      </c>
      <c r="D32" s="189" t="s">
        <v>179</v>
      </c>
      <c r="E32" s="198">
        <v>0</v>
      </c>
      <c r="F32" s="198">
        <v>0</v>
      </c>
      <c r="G32" s="198">
        <v>1</v>
      </c>
      <c r="H32" s="176"/>
    </row>
    <row r="33" spans="1:9" x14ac:dyDescent="0.2">
      <c r="A33" s="189" t="s">
        <v>93</v>
      </c>
      <c r="B33" s="189" t="s">
        <v>50</v>
      </c>
      <c r="C33" s="189" t="s">
        <v>55</v>
      </c>
      <c r="D33" s="189" t="s">
        <v>72</v>
      </c>
      <c r="E33" s="198">
        <v>0</v>
      </c>
      <c r="F33" s="198">
        <v>0</v>
      </c>
      <c r="G33" s="198">
        <v>0</v>
      </c>
      <c r="H33" s="199">
        <f>SUM(E27:G33)</f>
        <v>343922</v>
      </c>
      <c r="I33" s="78" t="s">
        <v>84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L45"/>
  <sheetViews>
    <sheetView workbookViewId="0"/>
  </sheetViews>
  <sheetFormatPr defaultRowHeight="12.75" x14ac:dyDescent="0.2"/>
  <cols>
    <col min="1" max="1" width="11.7109375" customWidth="1"/>
    <col min="2" max="2" width="18.140625" customWidth="1"/>
    <col min="3" max="3" width="12.42578125" customWidth="1"/>
    <col min="4" max="4" width="17.5703125" customWidth="1"/>
    <col min="6" max="6" width="15.5703125" customWidth="1"/>
    <col min="7" max="7" width="10" customWidth="1"/>
    <col min="8" max="8" width="21.85546875" customWidth="1"/>
    <col min="9" max="9" width="12.85546875" customWidth="1"/>
    <col min="10" max="10" width="12.28515625" bestFit="1" customWidth="1"/>
  </cols>
  <sheetData>
    <row r="1" spans="1:11" x14ac:dyDescent="0.2">
      <c r="A1" s="121" t="s">
        <v>77</v>
      </c>
      <c r="B1" s="129"/>
      <c r="C1" s="129"/>
      <c r="D1" s="130"/>
      <c r="H1" s="4" t="s">
        <v>79</v>
      </c>
    </row>
    <row r="2" spans="1:11" x14ac:dyDescent="0.2">
      <c r="A2" s="140" t="s">
        <v>73</v>
      </c>
      <c r="B2" s="141"/>
      <c r="C2" s="141"/>
      <c r="D2" s="142"/>
      <c r="H2" s="4" t="s">
        <v>38</v>
      </c>
      <c r="I2" s="196">
        <f>SUM(D10:F10)</f>
        <v>708681</v>
      </c>
    </row>
    <row r="3" spans="1:11" x14ac:dyDescent="0.2">
      <c r="A3" s="140" t="s">
        <v>74</v>
      </c>
      <c r="B3" s="141"/>
      <c r="C3" s="141"/>
      <c r="D3" s="142"/>
      <c r="H3" s="4" t="s">
        <v>39</v>
      </c>
      <c r="I3" s="196">
        <f>SUM(D11:F11)</f>
        <v>204752</v>
      </c>
    </row>
    <row r="4" spans="1:11" x14ac:dyDescent="0.2">
      <c r="A4" s="140" t="s">
        <v>92</v>
      </c>
      <c r="B4" s="141"/>
      <c r="C4" s="141"/>
      <c r="D4" s="142"/>
      <c r="H4" s="4" t="s">
        <v>2</v>
      </c>
      <c r="I4" s="138">
        <f>'Sundry Debtors'!C42</f>
        <v>65884.44</v>
      </c>
    </row>
    <row r="5" spans="1:11" ht="13.5" thickBot="1" x14ac:dyDescent="0.25">
      <c r="A5" s="143" t="s">
        <v>76</v>
      </c>
      <c r="B5" s="144"/>
      <c r="C5" s="144"/>
      <c r="D5" s="145"/>
      <c r="H5" s="4" t="s">
        <v>3</v>
      </c>
      <c r="I5" s="196">
        <f>SUM(D9:F9)</f>
        <v>11288</v>
      </c>
    </row>
    <row r="6" spans="1:11" s="69" customFormat="1" ht="13.5" thickBot="1" x14ac:dyDescent="0.25">
      <c r="H6" s="152"/>
      <c r="I6" s="183">
        <f>SUM(I2:I5)</f>
        <v>990605.44</v>
      </c>
      <c r="J6" s="184"/>
    </row>
    <row r="7" spans="1:11" s="69" customFormat="1" x14ac:dyDescent="0.2"/>
    <row r="8" spans="1:11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</row>
    <row r="9" spans="1:11" x14ac:dyDescent="0.2">
      <c r="A9" s="113" t="s">
        <v>93</v>
      </c>
      <c r="B9" s="113" t="s">
        <v>38</v>
      </c>
      <c r="C9" s="113" t="s">
        <v>3</v>
      </c>
      <c r="D9" s="113">
        <v>0</v>
      </c>
      <c r="E9" s="113">
        <v>524</v>
      </c>
      <c r="F9" s="114">
        <v>10764</v>
      </c>
    </row>
    <row r="10" spans="1:11" x14ac:dyDescent="0.2">
      <c r="A10" s="113" t="s">
        <v>93</v>
      </c>
      <c r="B10" s="113" t="s">
        <v>38</v>
      </c>
      <c r="C10" s="113" t="s">
        <v>41</v>
      </c>
      <c r="D10" s="114">
        <v>162093</v>
      </c>
      <c r="E10" s="114">
        <v>50729</v>
      </c>
      <c r="F10" s="114">
        <v>495859</v>
      </c>
    </row>
    <row r="11" spans="1:11" x14ac:dyDescent="0.2">
      <c r="A11" s="113" t="s">
        <v>93</v>
      </c>
      <c r="B11" s="113" t="s">
        <v>39</v>
      </c>
      <c r="C11" s="113" t="s">
        <v>41</v>
      </c>
      <c r="D11" s="114">
        <v>45524</v>
      </c>
      <c r="E11" s="114">
        <v>12783</v>
      </c>
      <c r="F11" s="114">
        <v>146445</v>
      </c>
    </row>
    <row r="12" spans="1:11" x14ac:dyDescent="0.2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ht="13.5" thickBot="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">
      <c r="A14" s="121" t="s">
        <v>83</v>
      </c>
      <c r="B14" s="122"/>
      <c r="C14" s="122"/>
      <c r="D14" s="122"/>
      <c r="E14" s="129"/>
      <c r="F14" s="130"/>
      <c r="H14" t="s">
        <v>42</v>
      </c>
      <c r="I14" s="98">
        <f>H45/I6</f>
        <v>0.40587703616891102</v>
      </c>
    </row>
    <row r="15" spans="1:11" x14ac:dyDescent="0.2">
      <c r="A15" s="124" t="s">
        <v>92</v>
      </c>
      <c r="B15" s="59"/>
      <c r="C15" s="59"/>
      <c r="D15" s="59"/>
      <c r="E15" s="60"/>
      <c r="F15" s="132"/>
      <c r="H15" t="s">
        <v>78</v>
      </c>
      <c r="I15" s="98">
        <f>H32/I6</f>
        <v>4.5368214412390064E-2</v>
      </c>
    </row>
    <row r="16" spans="1:11" ht="13.5" thickBot="1" x14ac:dyDescent="0.25">
      <c r="A16" s="126" t="s">
        <v>76</v>
      </c>
      <c r="B16" s="127"/>
      <c r="C16" s="127"/>
      <c r="D16" s="127"/>
      <c r="E16" s="134"/>
      <c r="F16" s="135"/>
      <c r="H16" t="s">
        <v>81</v>
      </c>
      <c r="I16" s="98">
        <f>H29/I6</f>
        <v>0.36772763937173614</v>
      </c>
    </row>
    <row r="17" spans="1:12" x14ac:dyDescent="0.2">
      <c r="A17" s="69"/>
      <c r="B17" s="69"/>
      <c r="C17" s="69"/>
      <c r="D17" s="69"/>
      <c r="E17" s="69"/>
      <c r="F17" s="69"/>
      <c r="G17" s="69"/>
      <c r="H17" s="69"/>
      <c r="I17" s="182">
        <f>SUM(I14:I16)</f>
        <v>0.8189728899530373</v>
      </c>
      <c r="J17" s="69"/>
      <c r="K17" s="69"/>
      <c r="L17" s="69"/>
    </row>
    <row r="18" spans="1:12" x14ac:dyDescent="0.2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</row>
    <row r="19" spans="1:12" x14ac:dyDescent="0.2">
      <c r="A19" s="175" t="s">
        <v>32</v>
      </c>
      <c r="B19" s="175" t="s">
        <v>42</v>
      </c>
      <c r="C19" s="175" t="s">
        <v>51</v>
      </c>
      <c r="D19" s="175" t="s">
        <v>57</v>
      </c>
      <c r="E19" s="175" t="s">
        <v>34</v>
      </c>
      <c r="F19" s="175" t="s">
        <v>35</v>
      </c>
      <c r="G19" s="175" t="s">
        <v>103</v>
      </c>
      <c r="H19" s="113"/>
    </row>
    <row r="20" spans="1:12" x14ac:dyDescent="0.2">
      <c r="A20" s="113" t="s">
        <v>93</v>
      </c>
      <c r="B20" s="113" t="s">
        <v>21</v>
      </c>
      <c r="C20" s="113" t="s">
        <v>21</v>
      </c>
      <c r="D20" s="113" t="s">
        <v>21</v>
      </c>
      <c r="E20" s="114">
        <v>46555</v>
      </c>
      <c r="F20" s="114">
        <v>18304</v>
      </c>
      <c r="G20" s="114">
        <v>48585</v>
      </c>
      <c r="H20" s="176"/>
    </row>
    <row r="21" spans="1:12" x14ac:dyDescent="0.2">
      <c r="A21" s="113" t="s">
        <v>93</v>
      </c>
      <c r="B21" s="113" t="s">
        <v>21</v>
      </c>
      <c r="C21" s="113" t="s">
        <v>95</v>
      </c>
      <c r="D21" s="113" t="s">
        <v>63</v>
      </c>
      <c r="E21" s="169">
        <v>38440</v>
      </c>
      <c r="F21" s="169">
        <v>3693</v>
      </c>
      <c r="G21" s="169">
        <v>49502</v>
      </c>
      <c r="H21" s="176"/>
    </row>
    <row r="22" spans="1:12" x14ac:dyDescent="0.2">
      <c r="A22" s="113" t="s">
        <v>93</v>
      </c>
      <c r="B22" s="113" t="s">
        <v>21</v>
      </c>
      <c r="C22" s="113" t="s">
        <v>95</v>
      </c>
      <c r="D22" s="113" t="s">
        <v>72</v>
      </c>
      <c r="E22" s="169">
        <v>6</v>
      </c>
      <c r="F22" s="169">
        <v>216</v>
      </c>
      <c r="G22" s="169">
        <v>1584</v>
      </c>
      <c r="H22" s="181"/>
    </row>
    <row r="23" spans="1:12" x14ac:dyDescent="0.2">
      <c r="A23" s="113" t="s">
        <v>93</v>
      </c>
      <c r="B23" s="113" t="s">
        <v>21</v>
      </c>
      <c r="C23" s="113" t="s">
        <v>52</v>
      </c>
      <c r="D23" s="113" t="s">
        <v>58</v>
      </c>
      <c r="E23" s="169">
        <v>4311</v>
      </c>
      <c r="F23" s="168">
        <v>0</v>
      </c>
      <c r="G23" s="169">
        <v>27141</v>
      </c>
      <c r="H23" s="181"/>
    </row>
    <row r="24" spans="1:12" x14ac:dyDescent="0.2">
      <c r="A24" s="113" t="s">
        <v>93</v>
      </c>
      <c r="B24" s="113" t="s">
        <v>21</v>
      </c>
      <c r="C24" s="113" t="s">
        <v>52</v>
      </c>
      <c r="D24" s="113" t="s">
        <v>60</v>
      </c>
      <c r="E24" s="169">
        <v>22557</v>
      </c>
      <c r="F24" s="169">
        <v>8313</v>
      </c>
      <c r="G24" s="169">
        <v>82879</v>
      </c>
      <c r="H24" s="181"/>
    </row>
    <row r="25" spans="1:12" x14ac:dyDescent="0.2">
      <c r="A25" s="113" t="s">
        <v>93</v>
      </c>
      <c r="B25" s="113" t="s">
        <v>21</v>
      </c>
      <c r="C25" s="113" t="s">
        <v>52</v>
      </c>
      <c r="D25" s="113" t="s">
        <v>62</v>
      </c>
      <c r="E25" s="168">
        <v>845</v>
      </c>
      <c r="F25" s="168">
        <v>0</v>
      </c>
      <c r="G25" s="169">
        <v>34680</v>
      </c>
      <c r="H25" s="181"/>
    </row>
    <row r="26" spans="1:12" x14ac:dyDescent="0.2">
      <c r="A26" s="113" t="s">
        <v>93</v>
      </c>
      <c r="B26" s="113" t="s">
        <v>21</v>
      </c>
      <c r="C26" s="113" t="s">
        <v>52</v>
      </c>
      <c r="D26" s="113" t="s">
        <v>70</v>
      </c>
      <c r="E26" s="168">
        <v>164</v>
      </c>
      <c r="F26" s="168">
        <v>359</v>
      </c>
      <c r="G26" s="169">
        <v>1836</v>
      </c>
      <c r="H26" s="181"/>
    </row>
    <row r="27" spans="1:12" x14ac:dyDescent="0.2">
      <c r="A27" s="113" t="s">
        <v>93</v>
      </c>
      <c r="B27" s="113" t="s">
        <v>21</v>
      </c>
      <c r="C27" s="113" t="s">
        <v>52</v>
      </c>
      <c r="D27" s="113" t="s">
        <v>117</v>
      </c>
      <c r="E27" s="168">
        <v>373</v>
      </c>
      <c r="F27" s="169">
        <v>0</v>
      </c>
      <c r="G27" s="169">
        <v>5783</v>
      </c>
      <c r="H27" s="181"/>
    </row>
    <row r="28" spans="1:12" x14ac:dyDescent="0.2">
      <c r="A28" s="113" t="s">
        <v>93</v>
      </c>
      <c r="B28" s="113" t="s">
        <v>21</v>
      </c>
      <c r="C28" s="113" t="s">
        <v>52</v>
      </c>
      <c r="D28" s="113" t="s">
        <v>71</v>
      </c>
      <c r="E28" s="168">
        <v>681</v>
      </c>
      <c r="F28" s="169">
        <v>202</v>
      </c>
      <c r="G28" s="169">
        <v>48153</v>
      </c>
      <c r="H28" s="181"/>
    </row>
    <row r="29" spans="1:12" x14ac:dyDescent="0.2">
      <c r="A29" s="189" t="s">
        <v>93</v>
      </c>
      <c r="B29" s="189" t="s">
        <v>21</v>
      </c>
      <c r="C29" s="189" t="s">
        <v>52</v>
      </c>
      <c r="D29" s="189" t="s">
        <v>72</v>
      </c>
      <c r="E29" s="185">
        <v>2183</v>
      </c>
      <c r="F29" s="188">
        <v>606</v>
      </c>
      <c r="G29" s="185">
        <v>29766</v>
      </c>
      <c r="H29" s="186">
        <f>SUM(E21:G29)</f>
        <v>364273</v>
      </c>
      <c r="I29" t="s">
        <v>52</v>
      </c>
    </row>
    <row r="30" spans="1:12" x14ac:dyDescent="0.2">
      <c r="A30" s="189" t="s">
        <v>93</v>
      </c>
      <c r="B30" s="189" t="s">
        <v>21</v>
      </c>
      <c r="C30" s="189" t="s">
        <v>54</v>
      </c>
      <c r="D30" s="189" t="s">
        <v>72</v>
      </c>
      <c r="E30" s="178">
        <v>3106</v>
      </c>
      <c r="F30" s="178">
        <v>1510</v>
      </c>
      <c r="G30" s="178">
        <v>16569</v>
      </c>
      <c r="H30" s="181"/>
    </row>
    <row r="31" spans="1:12" x14ac:dyDescent="0.2">
      <c r="A31" s="189" t="s">
        <v>93</v>
      </c>
      <c r="B31" s="189" t="s">
        <v>21</v>
      </c>
      <c r="C31" s="189" t="s">
        <v>55</v>
      </c>
      <c r="D31" s="189" t="s">
        <v>66</v>
      </c>
      <c r="E31" s="178">
        <v>114</v>
      </c>
      <c r="F31" s="178">
        <v>180</v>
      </c>
      <c r="G31" s="178">
        <v>5898</v>
      </c>
      <c r="H31" s="181"/>
    </row>
    <row r="32" spans="1:12" x14ac:dyDescent="0.2">
      <c r="A32" s="189" t="s">
        <v>93</v>
      </c>
      <c r="B32" s="189" t="s">
        <v>21</v>
      </c>
      <c r="C32" s="189" t="s">
        <v>55</v>
      </c>
      <c r="D32" s="189" t="s">
        <v>72</v>
      </c>
      <c r="E32" s="178">
        <v>2519</v>
      </c>
      <c r="F32" s="178">
        <v>1465</v>
      </c>
      <c r="G32" s="178">
        <v>13581</v>
      </c>
      <c r="H32" s="190">
        <f>SUM(E30:G32)</f>
        <v>44942</v>
      </c>
      <c r="I32" t="s">
        <v>85</v>
      </c>
    </row>
    <row r="33" spans="1:9" x14ac:dyDescent="0.2">
      <c r="A33" s="189" t="s">
        <v>93</v>
      </c>
      <c r="B33" s="189" t="s">
        <v>43</v>
      </c>
      <c r="C33" s="189" t="s">
        <v>21</v>
      </c>
      <c r="D33" s="189" t="s">
        <v>21</v>
      </c>
      <c r="E33" s="191">
        <v>31984</v>
      </c>
      <c r="F33" s="191">
        <v>7982</v>
      </c>
      <c r="G33" s="191">
        <v>60832</v>
      </c>
      <c r="H33" s="181"/>
    </row>
    <row r="34" spans="1:9" x14ac:dyDescent="0.2">
      <c r="A34" s="189" t="s">
        <v>93</v>
      </c>
      <c r="B34" s="189" t="s">
        <v>44</v>
      </c>
      <c r="C34" s="189" t="s">
        <v>21</v>
      </c>
      <c r="D34" s="189" t="s">
        <v>21</v>
      </c>
      <c r="E34" s="195">
        <v>0</v>
      </c>
      <c r="F34" s="195">
        <v>527</v>
      </c>
      <c r="G34" s="191">
        <v>6143</v>
      </c>
      <c r="H34" s="176"/>
    </row>
    <row r="35" spans="1:9" x14ac:dyDescent="0.2">
      <c r="A35" s="189" t="s">
        <v>93</v>
      </c>
      <c r="B35" s="189" t="s">
        <v>45</v>
      </c>
      <c r="C35" s="189" t="s">
        <v>21</v>
      </c>
      <c r="D35" s="189" t="s">
        <v>21</v>
      </c>
      <c r="E35" s="191">
        <v>21341</v>
      </c>
      <c r="F35" s="191">
        <v>6840</v>
      </c>
      <c r="G35" s="191">
        <v>123317</v>
      </c>
      <c r="H35" s="181"/>
    </row>
    <row r="36" spans="1:9" x14ac:dyDescent="0.2">
      <c r="A36" s="113" t="s">
        <v>93</v>
      </c>
      <c r="B36" s="113" t="s">
        <v>45</v>
      </c>
      <c r="C36" s="113" t="s">
        <v>52</v>
      </c>
      <c r="D36" s="113" t="s">
        <v>62</v>
      </c>
      <c r="E36" s="192">
        <v>0</v>
      </c>
      <c r="F36" s="192">
        <v>0</v>
      </c>
      <c r="G36" s="192">
        <v>0</v>
      </c>
      <c r="H36" s="181"/>
    </row>
    <row r="37" spans="1:9" x14ac:dyDescent="0.2">
      <c r="A37" s="113" t="s">
        <v>93</v>
      </c>
      <c r="B37" s="113" t="s">
        <v>46</v>
      </c>
      <c r="C37" s="113" t="s">
        <v>21</v>
      </c>
      <c r="D37" s="113" t="s">
        <v>21</v>
      </c>
      <c r="E37" s="192">
        <v>7713</v>
      </c>
      <c r="F37" s="192">
        <v>7721</v>
      </c>
      <c r="G37" s="192">
        <v>34905</v>
      </c>
      <c r="H37" s="181"/>
    </row>
    <row r="38" spans="1:9" x14ac:dyDescent="0.2">
      <c r="A38" s="113" t="s">
        <v>93</v>
      </c>
      <c r="B38" s="113" t="s">
        <v>105</v>
      </c>
      <c r="C38" s="113" t="s">
        <v>21</v>
      </c>
      <c r="D38" s="113" t="s">
        <v>21</v>
      </c>
      <c r="E38" s="193">
        <v>0</v>
      </c>
      <c r="F38" s="193">
        <v>700</v>
      </c>
      <c r="G38" s="192">
        <v>8571</v>
      </c>
      <c r="H38" s="181"/>
    </row>
    <row r="39" spans="1:9" x14ac:dyDescent="0.2">
      <c r="A39" s="113" t="s">
        <v>93</v>
      </c>
      <c r="B39" s="113" t="s">
        <v>47</v>
      </c>
      <c r="C39" s="113" t="s">
        <v>21</v>
      </c>
      <c r="D39" s="113" t="s">
        <v>21</v>
      </c>
      <c r="E39" s="192">
        <v>4015</v>
      </c>
      <c r="F39" s="192">
        <v>166</v>
      </c>
      <c r="G39" s="192">
        <v>18503</v>
      </c>
      <c r="H39" s="181"/>
    </row>
    <row r="40" spans="1:9" x14ac:dyDescent="0.2">
      <c r="A40" s="113" t="s">
        <v>93</v>
      </c>
      <c r="B40" s="113" t="s">
        <v>48</v>
      </c>
      <c r="C40" s="113" t="s">
        <v>21</v>
      </c>
      <c r="D40" s="113" t="s">
        <v>21</v>
      </c>
      <c r="E40" s="193">
        <v>661</v>
      </c>
      <c r="F40" s="192">
        <v>1223</v>
      </c>
      <c r="G40" s="192">
        <v>21063</v>
      </c>
      <c r="H40" s="181"/>
    </row>
    <row r="41" spans="1:9" x14ac:dyDescent="0.2">
      <c r="A41" s="113" t="s">
        <v>93</v>
      </c>
      <c r="B41" s="113" t="s">
        <v>119</v>
      </c>
      <c r="C41" s="113" t="s">
        <v>21</v>
      </c>
      <c r="D41" s="113" t="s">
        <v>21</v>
      </c>
      <c r="E41" s="192">
        <v>6787</v>
      </c>
      <c r="F41" s="192">
        <v>283</v>
      </c>
      <c r="G41" s="192">
        <v>853</v>
      </c>
      <c r="H41" s="181"/>
    </row>
    <row r="42" spans="1:9" x14ac:dyDescent="0.2">
      <c r="A42" s="113" t="s">
        <v>93</v>
      </c>
      <c r="B42" s="113" t="s">
        <v>49</v>
      </c>
      <c r="C42" s="113" t="s">
        <v>21</v>
      </c>
      <c r="D42" s="113" t="s">
        <v>21</v>
      </c>
      <c r="E42" s="192">
        <v>0</v>
      </c>
      <c r="F42" s="192">
        <v>0</v>
      </c>
      <c r="G42" s="192">
        <v>0</v>
      </c>
      <c r="H42" s="181"/>
    </row>
    <row r="43" spans="1:9" x14ac:dyDescent="0.2">
      <c r="A43" s="113" t="s">
        <v>93</v>
      </c>
      <c r="B43" s="113" t="s">
        <v>50</v>
      </c>
      <c r="C43" s="113" t="s">
        <v>21</v>
      </c>
      <c r="D43" s="113" t="s">
        <v>21</v>
      </c>
      <c r="E43" s="192">
        <v>12173</v>
      </c>
      <c r="F43" s="192">
        <v>3460</v>
      </c>
      <c r="G43" s="192">
        <v>11607</v>
      </c>
      <c r="H43" s="181"/>
    </row>
    <row r="44" spans="1:9" x14ac:dyDescent="0.2">
      <c r="A44" s="113" t="s">
        <v>93</v>
      </c>
      <c r="B44" s="113" t="s">
        <v>106</v>
      </c>
      <c r="C44" s="113" t="s">
        <v>21</v>
      </c>
      <c r="D44" s="113" t="s">
        <v>21</v>
      </c>
      <c r="E44" s="192">
        <v>792</v>
      </c>
      <c r="F44" s="193">
        <v>287</v>
      </c>
      <c r="G44" s="192">
        <v>1042</v>
      </c>
      <c r="H44" s="181"/>
    </row>
    <row r="45" spans="1:9" x14ac:dyDescent="0.2">
      <c r="A45" s="113" t="s">
        <v>93</v>
      </c>
      <c r="B45" s="113" t="s">
        <v>107</v>
      </c>
      <c r="C45" s="113" t="s">
        <v>21</v>
      </c>
      <c r="D45" s="113" t="s">
        <v>21</v>
      </c>
      <c r="E45" s="193">
        <v>298</v>
      </c>
      <c r="F45" s="192">
        <v>0</v>
      </c>
      <c r="G45" s="192">
        <v>275</v>
      </c>
      <c r="H45" s="194">
        <f>SUM(E33:G45)</f>
        <v>402064</v>
      </c>
      <c r="I45" t="s">
        <v>84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AL57"/>
  <sheetViews>
    <sheetView workbookViewId="0"/>
  </sheetViews>
  <sheetFormatPr defaultRowHeight="12.75" x14ac:dyDescent="0.2"/>
  <cols>
    <col min="1" max="1" width="11.7109375" customWidth="1"/>
    <col min="2" max="2" width="18.140625" customWidth="1"/>
    <col min="3" max="3" width="12.42578125" customWidth="1"/>
    <col min="4" max="4" width="17.5703125" customWidth="1"/>
    <col min="6" max="6" width="15.5703125" customWidth="1"/>
    <col min="7" max="7" width="10" customWidth="1"/>
    <col min="8" max="8" width="21.85546875" customWidth="1"/>
    <col min="9" max="9" width="12.85546875" customWidth="1"/>
    <col min="10" max="10" width="12.28515625" bestFit="1" customWidth="1"/>
  </cols>
  <sheetData>
    <row r="1" spans="1:11" x14ac:dyDescent="0.2">
      <c r="A1" s="121" t="s">
        <v>77</v>
      </c>
      <c r="B1" s="129"/>
      <c r="C1" s="129"/>
      <c r="D1" s="130"/>
      <c r="H1" s="4" t="s">
        <v>79</v>
      </c>
    </row>
    <row r="2" spans="1:11" x14ac:dyDescent="0.2">
      <c r="A2" s="140" t="s">
        <v>73</v>
      </c>
      <c r="B2" s="141"/>
      <c r="C2" s="141"/>
      <c r="D2" s="142"/>
      <c r="H2" s="4" t="s">
        <v>38</v>
      </c>
      <c r="I2" s="187">
        <f>SUM(D10:F10)</f>
        <v>605124</v>
      </c>
    </row>
    <row r="3" spans="1:11" x14ac:dyDescent="0.2">
      <c r="A3" s="140" t="s">
        <v>74</v>
      </c>
      <c r="B3" s="141"/>
      <c r="C3" s="141"/>
      <c r="D3" s="142"/>
      <c r="H3" s="4" t="s">
        <v>39</v>
      </c>
      <c r="I3" s="187">
        <f>SUM(D11:F11)</f>
        <v>177080</v>
      </c>
    </row>
    <row r="4" spans="1:11" x14ac:dyDescent="0.2">
      <c r="A4" s="140" t="s">
        <v>92</v>
      </c>
      <c r="B4" s="141"/>
      <c r="C4" s="141"/>
      <c r="D4" s="142"/>
      <c r="H4" s="4" t="s">
        <v>2</v>
      </c>
      <c r="I4" s="102">
        <f>'Sundry Debtors'!C16</f>
        <v>24898.33</v>
      </c>
    </row>
    <row r="5" spans="1:11" ht="13.5" thickBot="1" x14ac:dyDescent="0.25">
      <c r="A5" s="143" t="s">
        <v>76</v>
      </c>
      <c r="B5" s="144"/>
      <c r="C5" s="144"/>
      <c r="D5" s="145"/>
      <c r="H5" s="4" t="s">
        <v>3</v>
      </c>
      <c r="I5" s="187">
        <f>SUM(D9:F9)</f>
        <v>11536</v>
      </c>
    </row>
    <row r="6" spans="1:11" s="69" customFormat="1" ht="13.5" thickBot="1" x14ac:dyDescent="0.25">
      <c r="H6" s="152"/>
      <c r="I6" s="183">
        <f>SUM(I2:I5)</f>
        <v>818638.33</v>
      </c>
      <c r="J6" s="184"/>
    </row>
    <row r="7" spans="1:11" s="69" customFormat="1" x14ac:dyDescent="0.2"/>
    <row r="8" spans="1:11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</row>
    <row r="9" spans="1:11" x14ac:dyDescent="0.2">
      <c r="A9" s="113" t="s">
        <v>93</v>
      </c>
      <c r="B9" s="113" t="s">
        <v>38</v>
      </c>
      <c r="C9" s="113" t="s">
        <v>3</v>
      </c>
      <c r="D9" s="113">
        <v>599</v>
      </c>
      <c r="E9" s="113">
        <v>0</v>
      </c>
      <c r="F9" s="114">
        <v>10937</v>
      </c>
    </row>
    <row r="10" spans="1:11" x14ac:dyDescent="0.2">
      <c r="A10" s="113" t="s">
        <v>93</v>
      </c>
      <c r="B10" s="113" t="s">
        <v>38</v>
      </c>
      <c r="C10" s="113" t="s">
        <v>41</v>
      </c>
      <c r="D10" s="114">
        <v>63591</v>
      </c>
      <c r="E10" s="114">
        <v>38955</v>
      </c>
      <c r="F10" s="114">
        <v>502578</v>
      </c>
    </row>
    <row r="11" spans="1:11" x14ac:dyDescent="0.2">
      <c r="A11" s="113" t="s">
        <v>93</v>
      </c>
      <c r="B11" s="113" t="s">
        <v>39</v>
      </c>
      <c r="C11" s="113" t="s">
        <v>41</v>
      </c>
      <c r="D11" s="114">
        <v>16181</v>
      </c>
      <c r="E11" s="114">
        <v>5079</v>
      </c>
      <c r="F11" s="114">
        <v>155820</v>
      </c>
    </row>
    <row r="12" spans="1:11" x14ac:dyDescent="0.2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ht="13.5" thickBot="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">
      <c r="A14" s="121" t="s">
        <v>83</v>
      </c>
      <c r="B14" s="122"/>
      <c r="C14" s="122"/>
      <c r="D14" s="122"/>
      <c r="E14" s="129"/>
      <c r="F14" s="130"/>
      <c r="H14" t="s">
        <v>42</v>
      </c>
      <c r="I14" s="98">
        <f>H57/I6</f>
        <v>0.43210290434360682</v>
      </c>
    </row>
    <row r="15" spans="1:11" x14ac:dyDescent="0.2">
      <c r="A15" s="124" t="s">
        <v>92</v>
      </c>
      <c r="B15" s="59"/>
      <c r="C15" s="59"/>
      <c r="D15" s="59"/>
      <c r="E15" s="60"/>
      <c r="F15" s="132"/>
      <c r="H15" t="s">
        <v>78</v>
      </c>
      <c r="I15" s="98">
        <f>H34/I6</f>
        <v>0.1636351427620058</v>
      </c>
    </row>
    <row r="16" spans="1:11" ht="13.5" thickBot="1" x14ac:dyDescent="0.25">
      <c r="A16" s="126" t="s">
        <v>76</v>
      </c>
      <c r="B16" s="127"/>
      <c r="C16" s="127"/>
      <c r="D16" s="127"/>
      <c r="E16" s="134"/>
      <c r="F16" s="135"/>
      <c r="H16" t="s">
        <v>81</v>
      </c>
      <c r="I16" s="98">
        <f>H29/I6</f>
        <v>0.31027132580024686</v>
      </c>
    </row>
    <row r="17" spans="1:38" x14ac:dyDescent="0.2">
      <c r="A17" s="69"/>
      <c r="B17" s="69"/>
      <c r="C17" s="69"/>
      <c r="D17" s="69"/>
      <c r="E17" s="69"/>
      <c r="F17" s="69"/>
      <c r="G17" s="69"/>
      <c r="H17" s="69"/>
      <c r="I17" s="182">
        <f>SUM(I14:I16)</f>
        <v>0.90600937290585948</v>
      </c>
      <c r="J17" s="69"/>
      <c r="K17" s="69"/>
      <c r="L17" s="69"/>
    </row>
    <row r="18" spans="1:38" x14ac:dyDescent="0.2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</row>
    <row r="19" spans="1:38" x14ac:dyDescent="0.2">
      <c r="A19" s="175" t="s">
        <v>32</v>
      </c>
      <c r="B19" s="175" t="s">
        <v>42</v>
      </c>
      <c r="C19" s="175" t="s">
        <v>51</v>
      </c>
      <c r="D19" s="175" t="s">
        <v>57</v>
      </c>
      <c r="E19" s="175" t="s">
        <v>34</v>
      </c>
      <c r="F19" s="175" t="s">
        <v>35</v>
      </c>
      <c r="G19" s="175" t="s">
        <v>103</v>
      </c>
      <c r="H19" s="113"/>
    </row>
    <row r="20" spans="1:38" x14ac:dyDescent="0.2">
      <c r="A20" s="113" t="s">
        <v>93</v>
      </c>
      <c r="B20" s="113" t="s">
        <v>21</v>
      </c>
      <c r="C20" s="113" t="s">
        <v>21</v>
      </c>
      <c r="D20" s="113" t="s">
        <v>21</v>
      </c>
      <c r="E20" s="114">
        <v>15329</v>
      </c>
      <c r="F20" s="114">
        <v>6378</v>
      </c>
      <c r="G20" s="114">
        <v>30333</v>
      </c>
      <c r="H20" s="176"/>
    </row>
    <row r="21" spans="1:38" s="56" customFormat="1" x14ac:dyDescent="0.2">
      <c r="A21" s="113" t="s">
        <v>93</v>
      </c>
      <c r="B21" s="113" t="s">
        <v>21</v>
      </c>
      <c r="C21" s="113" t="s">
        <v>95</v>
      </c>
      <c r="D21" s="113" t="s">
        <v>63</v>
      </c>
      <c r="E21" s="169">
        <v>4736</v>
      </c>
      <c r="F21" s="168">
        <v>644</v>
      </c>
      <c r="G21" s="169">
        <v>18294</v>
      </c>
      <c r="H21" s="176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x14ac:dyDescent="0.2">
      <c r="A22" s="113" t="s">
        <v>93</v>
      </c>
      <c r="B22" s="113" t="s">
        <v>21</v>
      </c>
      <c r="C22" s="113" t="s">
        <v>95</v>
      </c>
      <c r="D22" s="113" t="s">
        <v>72</v>
      </c>
      <c r="E22" s="169">
        <v>1289</v>
      </c>
      <c r="F22" s="169">
        <v>0</v>
      </c>
      <c r="G22" s="169">
        <v>8640</v>
      </c>
      <c r="H22" s="181"/>
    </row>
    <row r="23" spans="1:38" x14ac:dyDescent="0.2">
      <c r="A23" s="113" t="s">
        <v>93</v>
      </c>
      <c r="B23" s="113" t="s">
        <v>21</v>
      </c>
      <c r="C23" s="113" t="s">
        <v>52</v>
      </c>
      <c r="D23" s="113" t="s">
        <v>58</v>
      </c>
      <c r="E23" s="168">
        <v>0</v>
      </c>
      <c r="F23" s="168">
        <v>196</v>
      </c>
      <c r="G23" s="169">
        <v>26232</v>
      </c>
      <c r="H23" s="181"/>
    </row>
    <row r="24" spans="1:38" x14ac:dyDescent="0.2">
      <c r="A24" s="113" t="s">
        <v>93</v>
      </c>
      <c r="B24" s="113" t="s">
        <v>21</v>
      </c>
      <c r="C24" s="113" t="s">
        <v>52</v>
      </c>
      <c r="D24" s="113" t="s">
        <v>60</v>
      </c>
      <c r="E24" s="169">
        <v>8145</v>
      </c>
      <c r="F24" s="169">
        <v>428</v>
      </c>
      <c r="G24" s="169">
        <v>80640</v>
      </c>
      <c r="H24" s="181"/>
    </row>
    <row r="25" spans="1:38" x14ac:dyDescent="0.2">
      <c r="A25" s="113" t="s">
        <v>93</v>
      </c>
      <c r="B25" s="113" t="s">
        <v>21</v>
      </c>
      <c r="C25" s="113" t="s">
        <v>52</v>
      </c>
      <c r="D25" s="113" t="s">
        <v>62</v>
      </c>
      <c r="E25" s="168">
        <v>0</v>
      </c>
      <c r="F25" s="168">
        <v>768</v>
      </c>
      <c r="G25" s="169">
        <v>33618</v>
      </c>
      <c r="H25" s="181"/>
    </row>
    <row r="26" spans="1:38" x14ac:dyDescent="0.2">
      <c r="A26" s="113" t="s">
        <v>93</v>
      </c>
      <c r="B26" s="113" t="s">
        <v>21</v>
      </c>
      <c r="C26" s="113" t="s">
        <v>52</v>
      </c>
      <c r="D26" s="113" t="s">
        <v>70</v>
      </c>
      <c r="E26" s="168">
        <v>359</v>
      </c>
      <c r="F26" s="168">
        <v>196</v>
      </c>
      <c r="G26" s="169">
        <v>2540</v>
      </c>
      <c r="H26" s="181"/>
    </row>
    <row r="27" spans="1:38" x14ac:dyDescent="0.2">
      <c r="A27" s="113" t="s">
        <v>93</v>
      </c>
      <c r="B27" s="113" t="s">
        <v>21</v>
      </c>
      <c r="C27" s="113" t="s">
        <v>52</v>
      </c>
      <c r="D27" s="113" t="s">
        <v>117</v>
      </c>
      <c r="E27" s="168">
        <v>0</v>
      </c>
      <c r="F27" s="169">
        <v>0</v>
      </c>
      <c r="G27" s="169">
        <v>5686</v>
      </c>
      <c r="H27" s="181"/>
    </row>
    <row r="28" spans="1:38" x14ac:dyDescent="0.2">
      <c r="A28" s="113" t="s">
        <v>93</v>
      </c>
      <c r="B28" s="113" t="s">
        <v>21</v>
      </c>
      <c r="C28" s="113" t="s">
        <v>52</v>
      </c>
      <c r="D28" s="113" t="s">
        <v>71</v>
      </c>
      <c r="E28" s="168">
        <v>200</v>
      </c>
      <c r="F28" s="169">
        <v>942</v>
      </c>
      <c r="G28" s="169">
        <v>48328</v>
      </c>
      <c r="H28" s="181"/>
    </row>
    <row r="29" spans="1:38" x14ac:dyDescent="0.2">
      <c r="A29" s="189" t="s">
        <v>93</v>
      </c>
      <c r="B29" s="189" t="s">
        <v>21</v>
      </c>
      <c r="C29" s="189" t="s">
        <v>52</v>
      </c>
      <c r="D29" s="189" t="s">
        <v>72</v>
      </c>
      <c r="E29" s="188">
        <v>379</v>
      </c>
      <c r="F29" s="188">
        <v>719</v>
      </c>
      <c r="G29" s="185">
        <v>11021</v>
      </c>
      <c r="H29" s="186">
        <f>SUM(E21:G29)</f>
        <v>254000</v>
      </c>
      <c r="I29" t="s">
        <v>135</v>
      </c>
    </row>
    <row r="30" spans="1:38" x14ac:dyDescent="0.2">
      <c r="A30" s="189" t="s">
        <v>93</v>
      </c>
      <c r="B30" s="189" t="s">
        <v>21</v>
      </c>
      <c r="C30" s="189" t="s">
        <v>54</v>
      </c>
      <c r="D30" s="189" t="s">
        <v>87</v>
      </c>
      <c r="E30" s="178">
        <v>0</v>
      </c>
      <c r="F30" s="178">
        <v>0</v>
      </c>
      <c r="G30" s="178">
        <v>463</v>
      </c>
      <c r="H30" s="181"/>
    </row>
    <row r="31" spans="1:38" x14ac:dyDescent="0.2">
      <c r="A31" s="189" t="s">
        <v>93</v>
      </c>
      <c r="B31" s="189" t="s">
        <v>21</v>
      </c>
      <c r="C31" s="189" t="s">
        <v>54</v>
      </c>
      <c r="D31" s="189" t="s">
        <v>72</v>
      </c>
      <c r="E31" s="178">
        <v>12599</v>
      </c>
      <c r="F31" s="178">
        <v>8228</v>
      </c>
      <c r="G31" s="178">
        <v>83145</v>
      </c>
      <c r="H31" s="181"/>
    </row>
    <row r="32" spans="1:38" x14ac:dyDescent="0.2">
      <c r="A32" s="189" t="s">
        <v>93</v>
      </c>
      <c r="B32" s="189" t="s">
        <v>21</v>
      </c>
      <c r="C32" s="189" t="s">
        <v>55</v>
      </c>
      <c r="D32" s="189" t="s">
        <v>66</v>
      </c>
      <c r="E32" s="177">
        <v>0</v>
      </c>
      <c r="F32" s="177">
        <v>0</v>
      </c>
      <c r="G32" s="178">
        <v>1709</v>
      </c>
      <c r="H32" s="181"/>
    </row>
    <row r="33" spans="1:8" x14ac:dyDescent="0.2">
      <c r="A33" s="189" t="s">
        <v>93</v>
      </c>
      <c r="B33" s="189" t="s">
        <v>21</v>
      </c>
      <c r="C33" s="189" t="s">
        <v>55</v>
      </c>
      <c r="D33" s="189" t="s">
        <v>68</v>
      </c>
      <c r="E33" s="178">
        <v>1715</v>
      </c>
      <c r="F33" s="178">
        <v>4666</v>
      </c>
      <c r="G33" s="178">
        <v>18655</v>
      </c>
      <c r="H33" s="181"/>
    </row>
    <row r="34" spans="1:8" x14ac:dyDescent="0.2">
      <c r="A34" s="189" t="s">
        <v>93</v>
      </c>
      <c r="B34" s="189" t="s">
        <v>21</v>
      </c>
      <c r="C34" s="189" t="s">
        <v>55</v>
      </c>
      <c r="D34" s="189" t="s">
        <v>72</v>
      </c>
      <c r="E34" s="177">
        <v>0</v>
      </c>
      <c r="F34" s="177">
        <v>111</v>
      </c>
      <c r="G34" s="178">
        <v>2667</v>
      </c>
      <c r="H34" s="190">
        <f>SUM(E30:G34)</f>
        <v>133958</v>
      </c>
    </row>
    <row r="35" spans="1:8" x14ac:dyDescent="0.2">
      <c r="A35" s="189" t="s">
        <v>93</v>
      </c>
      <c r="B35" s="189" t="s">
        <v>43</v>
      </c>
      <c r="C35" s="189" t="s">
        <v>21</v>
      </c>
      <c r="D35" s="189" t="s">
        <v>21</v>
      </c>
      <c r="E35" s="191">
        <v>11052</v>
      </c>
      <c r="F35" s="191">
        <v>7548</v>
      </c>
      <c r="G35" s="191">
        <v>58694</v>
      </c>
      <c r="H35" s="181"/>
    </row>
    <row r="36" spans="1:8" x14ac:dyDescent="0.2">
      <c r="A36" s="113" t="s">
        <v>93</v>
      </c>
      <c r="B36" s="113" t="s">
        <v>43</v>
      </c>
      <c r="C36" s="113" t="s">
        <v>95</v>
      </c>
      <c r="D36" s="113" t="s">
        <v>63</v>
      </c>
      <c r="E36" s="192">
        <v>0</v>
      </c>
      <c r="F36" s="192">
        <v>0</v>
      </c>
      <c r="G36" s="192">
        <v>0</v>
      </c>
      <c r="H36" s="181"/>
    </row>
    <row r="37" spans="1:8" x14ac:dyDescent="0.2">
      <c r="A37" s="113" t="s">
        <v>93</v>
      </c>
      <c r="B37" s="113" t="s">
        <v>43</v>
      </c>
      <c r="C37" s="113" t="s">
        <v>54</v>
      </c>
      <c r="D37" s="113" t="s">
        <v>72</v>
      </c>
      <c r="E37" s="193">
        <v>0</v>
      </c>
      <c r="F37" s="193">
        <v>0</v>
      </c>
      <c r="G37" s="193">
        <v>945</v>
      </c>
      <c r="H37" s="181"/>
    </row>
    <row r="38" spans="1:8" x14ac:dyDescent="0.2">
      <c r="A38" s="113" t="s">
        <v>93</v>
      </c>
      <c r="B38" s="113" t="s">
        <v>44</v>
      </c>
      <c r="C38" s="113" t="s">
        <v>21</v>
      </c>
      <c r="D38" s="113" t="s">
        <v>21</v>
      </c>
      <c r="E38" s="193">
        <v>525</v>
      </c>
      <c r="F38" s="193">
        <v>786</v>
      </c>
      <c r="G38" s="192">
        <v>6388</v>
      </c>
      <c r="H38" s="181"/>
    </row>
    <row r="39" spans="1:8" x14ac:dyDescent="0.2">
      <c r="A39" s="113" t="s">
        <v>93</v>
      </c>
      <c r="B39" s="113" t="s">
        <v>45</v>
      </c>
      <c r="C39" s="113" t="s">
        <v>21</v>
      </c>
      <c r="D39" s="113" t="s">
        <v>21</v>
      </c>
      <c r="E39" s="192">
        <v>7516</v>
      </c>
      <c r="F39" s="192">
        <v>4917</v>
      </c>
      <c r="G39" s="192">
        <v>129703</v>
      </c>
      <c r="H39" s="181"/>
    </row>
    <row r="40" spans="1:8" x14ac:dyDescent="0.2">
      <c r="A40" s="113" t="s">
        <v>93</v>
      </c>
      <c r="B40" s="113" t="s">
        <v>45</v>
      </c>
      <c r="C40" s="113" t="s">
        <v>95</v>
      </c>
      <c r="D40" s="113" t="s">
        <v>63</v>
      </c>
      <c r="E40" s="193">
        <v>0</v>
      </c>
      <c r="F40" s="193">
        <v>0</v>
      </c>
      <c r="G40" s="192">
        <v>126</v>
      </c>
      <c r="H40" s="181"/>
    </row>
    <row r="41" spans="1:8" x14ac:dyDescent="0.2">
      <c r="A41" s="113" t="s">
        <v>93</v>
      </c>
      <c r="B41" s="113" t="s">
        <v>45</v>
      </c>
      <c r="C41" s="113" t="s">
        <v>52</v>
      </c>
      <c r="D41" s="113" t="s">
        <v>62</v>
      </c>
      <c r="E41" s="192">
        <v>0</v>
      </c>
      <c r="F41" s="192">
        <v>0</v>
      </c>
      <c r="G41" s="192">
        <v>0</v>
      </c>
      <c r="H41" s="181"/>
    </row>
    <row r="42" spans="1:8" x14ac:dyDescent="0.2">
      <c r="A42" s="113" t="s">
        <v>93</v>
      </c>
      <c r="B42" s="113" t="s">
        <v>46</v>
      </c>
      <c r="C42" s="113" t="s">
        <v>21</v>
      </c>
      <c r="D42" s="113" t="s">
        <v>21</v>
      </c>
      <c r="E42" s="192">
        <v>9741</v>
      </c>
      <c r="F42" s="192">
        <v>2688</v>
      </c>
      <c r="G42" s="192">
        <v>36306</v>
      </c>
      <c r="H42" s="181"/>
    </row>
    <row r="43" spans="1:8" x14ac:dyDescent="0.2">
      <c r="A43" s="113" t="s">
        <v>93</v>
      </c>
      <c r="B43" s="113" t="s">
        <v>46</v>
      </c>
      <c r="C43" s="113" t="s">
        <v>54</v>
      </c>
      <c r="D43" s="113" t="s">
        <v>72</v>
      </c>
      <c r="E43" s="193">
        <v>0</v>
      </c>
      <c r="F43" s="193">
        <v>0</v>
      </c>
      <c r="G43" s="193">
        <v>241</v>
      </c>
      <c r="H43" s="181"/>
    </row>
    <row r="44" spans="1:8" x14ac:dyDescent="0.2">
      <c r="A44" s="113" t="s">
        <v>93</v>
      </c>
      <c r="B44" s="113" t="s">
        <v>105</v>
      </c>
      <c r="C44" s="113" t="s">
        <v>21</v>
      </c>
      <c r="D44" s="113" t="s">
        <v>21</v>
      </c>
      <c r="E44" s="192">
        <v>684</v>
      </c>
      <c r="F44" s="193">
        <v>797</v>
      </c>
      <c r="G44" s="192">
        <v>9313</v>
      </c>
      <c r="H44" s="181"/>
    </row>
    <row r="45" spans="1:8" x14ac:dyDescent="0.2">
      <c r="A45" s="113" t="s">
        <v>93</v>
      </c>
      <c r="B45" s="113" t="s">
        <v>47</v>
      </c>
      <c r="C45" s="113" t="s">
        <v>21</v>
      </c>
      <c r="D45" s="113" t="s">
        <v>21</v>
      </c>
      <c r="E45" s="193">
        <v>712</v>
      </c>
      <c r="F45" s="192">
        <v>530</v>
      </c>
      <c r="G45" s="192">
        <v>21641</v>
      </c>
      <c r="H45" s="181"/>
    </row>
    <row r="46" spans="1:8" x14ac:dyDescent="0.2">
      <c r="A46" s="113" t="s">
        <v>93</v>
      </c>
      <c r="B46" s="113" t="s">
        <v>48</v>
      </c>
      <c r="C46" s="113" t="s">
        <v>21</v>
      </c>
      <c r="D46" s="113" t="s">
        <v>21</v>
      </c>
      <c r="E46" s="192">
        <v>1087</v>
      </c>
      <c r="F46" s="192">
        <v>1653</v>
      </c>
      <c r="G46" s="192">
        <v>20232</v>
      </c>
      <c r="H46" s="181"/>
    </row>
    <row r="47" spans="1:8" x14ac:dyDescent="0.2">
      <c r="A47" s="113" t="s">
        <v>93</v>
      </c>
      <c r="B47" s="113" t="s">
        <v>119</v>
      </c>
      <c r="C47" s="113" t="s">
        <v>21</v>
      </c>
      <c r="D47" s="113" t="s">
        <v>21</v>
      </c>
      <c r="E47" s="192">
        <v>1137</v>
      </c>
      <c r="F47" s="193">
        <v>411</v>
      </c>
      <c r="G47" s="192">
        <v>1359</v>
      </c>
      <c r="H47" s="181"/>
    </row>
    <row r="48" spans="1:8" x14ac:dyDescent="0.2">
      <c r="A48" s="113" t="s">
        <v>93</v>
      </c>
      <c r="B48" s="113" t="s">
        <v>49</v>
      </c>
      <c r="C48" s="113" t="s">
        <v>21</v>
      </c>
      <c r="D48" s="113" t="s">
        <v>21</v>
      </c>
      <c r="E48" s="193">
        <v>0</v>
      </c>
      <c r="F48" s="193">
        <v>0</v>
      </c>
      <c r="G48" s="193">
        <v>0</v>
      </c>
      <c r="H48" s="181"/>
    </row>
    <row r="49" spans="1:8" x14ac:dyDescent="0.2">
      <c r="A49" s="113" t="s">
        <v>93</v>
      </c>
      <c r="B49" s="113" t="s">
        <v>49</v>
      </c>
      <c r="C49" s="113" t="s">
        <v>54</v>
      </c>
      <c r="D49" s="113" t="s">
        <v>72</v>
      </c>
      <c r="E49" s="192">
        <v>0</v>
      </c>
      <c r="F49" s="192">
        <v>0</v>
      </c>
      <c r="G49" s="192">
        <v>0</v>
      </c>
      <c r="H49" s="181"/>
    </row>
    <row r="50" spans="1:8" x14ac:dyDescent="0.2">
      <c r="A50" s="113" t="s">
        <v>93</v>
      </c>
      <c r="B50" s="113" t="s">
        <v>50</v>
      </c>
      <c r="C50" s="113" t="s">
        <v>21</v>
      </c>
      <c r="D50" s="113" t="s">
        <v>21</v>
      </c>
      <c r="E50" s="192">
        <v>2472</v>
      </c>
      <c r="F50" s="192">
        <v>1203</v>
      </c>
      <c r="G50" s="192">
        <v>10245</v>
      </c>
      <c r="H50" s="181"/>
    </row>
    <row r="51" spans="1:8" x14ac:dyDescent="0.2">
      <c r="A51" s="113" t="s">
        <v>93</v>
      </c>
      <c r="B51" s="113" t="s">
        <v>50</v>
      </c>
      <c r="C51" s="113" t="s">
        <v>95</v>
      </c>
      <c r="D51" s="113" t="s">
        <v>63</v>
      </c>
      <c r="E51" s="193">
        <v>0</v>
      </c>
      <c r="F51" s="193">
        <v>0</v>
      </c>
      <c r="G51" s="193">
        <v>34</v>
      </c>
      <c r="H51" s="181"/>
    </row>
    <row r="52" spans="1:8" x14ac:dyDescent="0.2">
      <c r="A52" s="113" t="s">
        <v>93</v>
      </c>
      <c r="B52" s="113" t="s">
        <v>50</v>
      </c>
      <c r="C52" s="113" t="s">
        <v>95</v>
      </c>
      <c r="D52" s="113" t="s">
        <v>72</v>
      </c>
      <c r="E52" s="193">
        <v>0</v>
      </c>
      <c r="F52" s="192">
        <v>0</v>
      </c>
      <c r="G52" s="192">
        <v>0</v>
      </c>
      <c r="H52" s="181"/>
    </row>
    <row r="53" spans="1:8" x14ac:dyDescent="0.2">
      <c r="A53" s="113" t="s">
        <v>93</v>
      </c>
      <c r="B53" s="113" t="s">
        <v>50</v>
      </c>
      <c r="C53" s="113" t="s">
        <v>52</v>
      </c>
      <c r="D53" s="113" t="s">
        <v>71</v>
      </c>
      <c r="E53" s="193">
        <v>0</v>
      </c>
      <c r="F53" s="192">
        <v>0</v>
      </c>
      <c r="G53" s="193">
        <v>0</v>
      </c>
      <c r="H53" s="181"/>
    </row>
    <row r="54" spans="1:8" x14ac:dyDescent="0.2">
      <c r="A54" s="113" t="s">
        <v>93</v>
      </c>
      <c r="B54" s="113" t="s">
        <v>50</v>
      </c>
      <c r="C54" s="113" t="s">
        <v>54</v>
      </c>
      <c r="D54" s="113" t="s">
        <v>72</v>
      </c>
      <c r="E54" s="193">
        <v>405</v>
      </c>
      <c r="F54" s="193">
        <v>0</v>
      </c>
      <c r="G54" s="193">
        <v>429</v>
      </c>
      <c r="H54" s="113"/>
    </row>
    <row r="55" spans="1:8" x14ac:dyDescent="0.2">
      <c r="A55" s="113" t="s">
        <v>93</v>
      </c>
      <c r="B55" s="113" t="s">
        <v>50</v>
      </c>
      <c r="C55" s="113" t="s">
        <v>55</v>
      </c>
      <c r="D55" s="113" t="s">
        <v>68</v>
      </c>
      <c r="E55" s="193">
        <v>0</v>
      </c>
      <c r="F55" s="193">
        <v>222</v>
      </c>
      <c r="G55" s="193">
        <v>394</v>
      </c>
      <c r="H55" s="113"/>
    </row>
    <row r="56" spans="1:8" x14ac:dyDescent="0.2">
      <c r="A56" s="113" t="s">
        <v>93</v>
      </c>
      <c r="B56" s="113" t="s">
        <v>106</v>
      </c>
      <c r="C56" s="113" t="s">
        <v>21</v>
      </c>
      <c r="D56" s="113" t="s">
        <v>21</v>
      </c>
      <c r="E56" s="193">
        <v>287</v>
      </c>
      <c r="F56" s="193">
        <v>0</v>
      </c>
      <c r="G56" s="192">
        <v>1043</v>
      </c>
      <c r="H56" s="113"/>
    </row>
    <row r="57" spans="1:8" x14ac:dyDescent="0.2">
      <c r="A57" s="113" t="s">
        <v>93</v>
      </c>
      <c r="B57" s="113" t="s">
        <v>107</v>
      </c>
      <c r="C57" s="113" t="s">
        <v>21</v>
      </c>
      <c r="D57" s="113" t="s">
        <v>21</v>
      </c>
      <c r="E57" s="193">
        <v>0</v>
      </c>
      <c r="F57" s="193">
        <v>0</v>
      </c>
      <c r="G57" s="193">
        <v>270</v>
      </c>
      <c r="H57" s="194">
        <f>SUM(E35:G57)</f>
        <v>353736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AM54"/>
  <sheetViews>
    <sheetView workbookViewId="0"/>
  </sheetViews>
  <sheetFormatPr defaultRowHeight="12.75" x14ac:dyDescent="0.2"/>
  <cols>
    <col min="1" max="1" width="11.7109375" customWidth="1"/>
    <col min="2" max="2" width="18.140625" customWidth="1"/>
    <col min="3" max="3" width="12.42578125" customWidth="1"/>
    <col min="4" max="4" width="17.5703125" customWidth="1"/>
    <col min="6" max="6" width="15.5703125" customWidth="1"/>
    <col min="7" max="7" width="10" customWidth="1"/>
    <col min="8" max="8" width="0.7109375" customWidth="1"/>
    <col min="9" max="9" width="21.85546875" customWidth="1"/>
    <col min="10" max="10" width="12.85546875" customWidth="1"/>
    <col min="11" max="11" width="12.28515625" bestFit="1" customWidth="1"/>
  </cols>
  <sheetData>
    <row r="1" spans="1:12" x14ac:dyDescent="0.2">
      <c r="A1" s="121" t="s">
        <v>77</v>
      </c>
      <c r="B1" s="129"/>
      <c r="C1" s="129"/>
      <c r="D1" s="130"/>
      <c r="I1" s="4" t="s">
        <v>79</v>
      </c>
    </row>
    <row r="2" spans="1:12" x14ac:dyDescent="0.2">
      <c r="A2" s="140" t="s">
        <v>73</v>
      </c>
      <c r="B2" s="141"/>
      <c r="C2" s="141"/>
      <c r="D2" s="142"/>
      <c r="I2" s="4" t="s">
        <v>38</v>
      </c>
      <c r="J2" s="83">
        <f>SUM(D10:F10)</f>
        <v>612655</v>
      </c>
    </row>
    <row r="3" spans="1:12" x14ac:dyDescent="0.2">
      <c r="A3" s="140" t="s">
        <v>74</v>
      </c>
      <c r="B3" s="141"/>
      <c r="C3" s="141"/>
      <c r="D3" s="142"/>
      <c r="I3" s="4" t="s">
        <v>39</v>
      </c>
      <c r="J3" s="83">
        <f>SUM(D11:F11)</f>
        <v>175712</v>
      </c>
    </row>
    <row r="4" spans="1:12" x14ac:dyDescent="0.2">
      <c r="A4" s="140" t="s">
        <v>92</v>
      </c>
      <c r="B4" s="141"/>
      <c r="C4" s="141"/>
      <c r="D4" s="142"/>
      <c r="I4" s="4" t="s">
        <v>2</v>
      </c>
      <c r="J4" s="83">
        <v>27751</v>
      </c>
    </row>
    <row r="5" spans="1:12" ht="13.5" thickBot="1" x14ac:dyDescent="0.25">
      <c r="A5" s="143" t="s">
        <v>76</v>
      </c>
      <c r="B5" s="144"/>
      <c r="C5" s="144"/>
      <c r="D5" s="145"/>
      <c r="I5" s="4" t="s">
        <v>3</v>
      </c>
      <c r="J5" s="83">
        <f>SUM(D9:F9)</f>
        <v>12678</v>
      </c>
    </row>
    <row r="6" spans="1:12" s="69" customFormat="1" ht="13.5" thickBot="1" x14ac:dyDescent="0.25">
      <c r="I6" s="152"/>
      <c r="J6" s="183">
        <f>SUM(J2:J5)</f>
        <v>828796</v>
      </c>
      <c r="K6" s="184" t="s">
        <v>118</v>
      </c>
    </row>
    <row r="7" spans="1:12" s="69" customFormat="1" x14ac:dyDescent="0.2"/>
    <row r="8" spans="1:12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</row>
    <row r="9" spans="1:12" x14ac:dyDescent="0.2">
      <c r="A9" s="113" t="s">
        <v>93</v>
      </c>
      <c r="B9" s="113" t="s">
        <v>38</v>
      </c>
      <c r="C9" s="113" t="s">
        <v>3</v>
      </c>
      <c r="D9" s="113">
        <v>0</v>
      </c>
      <c r="E9" s="113">
        <v>0</v>
      </c>
      <c r="F9" s="114">
        <v>12678</v>
      </c>
    </row>
    <row r="10" spans="1:12" x14ac:dyDescent="0.2">
      <c r="A10" s="113" t="s">
        <v>93</v>
      </c>
      <c r="B10" s="113" t="s">
        <v>38</v>
      </c>
      <c r="C10" s="113" t="s">
        <v>41</v>
      </c>
      <c r="D10" s="114">
        <v>54006</v>
      </c>
      <c r="E10" s="114">
        <v>67181</v>
      </c>
      <c r="F10" s="114">
        <v>491468</v>
      </c>
    </row>
    <row r="11" spans="1:12" x14ac:dyDescent="0.2">
      <c r="A11" s="113" t="s">
        <v>93</v>
      </c>
      <c r="B11" s="113" t="s">
        <v>39</v>
      </c>
      <c r="C11" s="113" t="s">
        <v>41</v>
      </c>
      <c r="D11" s="114">
        <v>5868</v>
      </c>
      <c r="E11" s="114">
        <v>27385</v>
      </c>
      <c r="F11" s="114">
        <v>142459</v>
      </c>
    </row>
    <row r="12" spans="1:12" x14ac:dyDescent="0.2">
      <c r="A12" s="113"/>
      <c r="B12" s="113"/>
      <c r="C12" s="113"/>
      <c r="D12" s="113"/>
      <c r="E12" s="113"/>
      <c r="F12" s="113"/>
    </row>
    <row r="13" spans="1:12" x14ac:dyDescent="0.2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</row>
    <row r="14" spans="1:12" ht="13.5" thickBot="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2" x14ac:dyDescent="0.2">
      <c r="A15" s="121" t="s">
        <v>83</v>
      </c>
      <c r="B15" s="122"/>
      <c r="C15" s="122"/>
      <c r="D15" s="122"/>
      <c r="E15" s="129"/>
      <c r="F15" s="130"/>
      <c r="I15" t="s">
        <v>42</v>
      </c>
      <c r="J15" s="98">
        <f>I54/J6</f>
        <v>0.45723555615615907</v>
      </c>
    </row>
    <row r="16" spans="1:12" x14ac:dyDescent="0.2">
      <c r="A16" s="124" t="s">
        <v>92</v>
      </c>
      <c r="B16" s="59"/>
      <c r="C16" s="59"/>
      <c r="D16" s="59"/>
      <c r="E16" s="60"/>
      <c r="F16" s="132"/>
      <c r="I16" t="s">
        <v>78</v>
      </c>
      <c r="J16" s="98">
        <f>I36/J6</f>
        <v>0.19006124546933142</v>
      </c>
    </row>
    <row r="17" spans="1:39" ht="13.5" thickBot="1" x14ac:dyDescent="0.25">
      <c r="A17" s="126" t="s">
        <v>76</v>
      </c>
      <c r="B17" s="127"/>
      <c r="C17" s="127"/>
      <c r="D17" s="127"/>
      <c r="E17" s="134"/>
      <c r="F17" s="135"/>
      <c r="I17" t="s">
        <v>81</v>
      </c>
      <c r="J17" s="98">
        <f>I29/J6</f>
        <v>0.24743603974922659</v>
      </c>
    </row>
    <row r="18" spans="1:39" x14ac:dyDescent="0.2">
      <c r="A18" s="69"/>
      <c r="B18" s="69"/>
      <c r="C18" s="69"/>
      <c r="D18" s="69"/>
      <c r="E18" s="69"/>
      <c r="F18" s="69"/>
      <c r="G18" s="69"/>
      <c r="H18" s="69"/>
      <c r="I18" s="69"/>
      <c r="J18" s="182">
        <f>SUM(J15:J17)</f>
        <v>0.89473284137471709</v>
      </c>
      <c r="K18" s="69"/>
      <c r="L18" s="69"/>
      <c r="M18" s="69"/>
    </row>
    <row r="19" spans="1:39" x14ac:dyDescent="0.2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39" x14ac:dyDescent="0.2">
      <c r="A20" s="175" t="s">
        <v>32</v>
      </c>
      <c r="B20" s="175" t="s">
        <v>42</v>
      </c>
      <c r="C20" s="175" t="s">
        <v>51</v>
      </c>
      <c r="D20" s="175" t="s">
        <v>57</v>
      </c>
      <c r="E20" s="175" t="s">
        <v>34</v>
      </c>
      <c r="F20" s="175" t="s">
        <v>35</v>
      </c>
      <c r="G20" s="175" t="s">
        <v>103</v>
      </c>
      <c r="H20" s="113"/>
      <c r="I20" s="113"/>
    </row>
    <row r="21" spans="1:39" x14ac:dyDescent="0.2">
      <c r="A21" s="113" t="s">
        <v>93</v>
      </c>
      <c r="B21" s="113" t="s">
        <v>21</v>
      </c>
      <c r="C21" s="113" t="s">
        <v>21</v>
      </c>
      <c r="D21" s="113" t="s">
        <v>21</v>
      </c>
      <c r="E21" s="114">
        <v>8318</v>
      </c>
      <c r="F21" s="114">
        <v>16305</v>
      </c>
      <c r="G21" s="114">
        <v>34872</v>
      </c>
      <c r="H21" s="113"/>
      <c r="I21" s="176">
        <v>59495</v>
      </c>
    </row>
    <row r="22" spans="1:39" s="56" customFormat="1" x14ac:dyDescent="0.2">
      <c r="A22" s="115" t="s">
        <v>93</v>
      </c>
      <c r="B22" s="115" t="s">
        <v>21</v>
      </c>
      <c r="C22" s="115" t="s">
        <v>95</v>
      </c>
      <c r="D22" s="115" t="s">
        <v>63</v>
      </c>
      <c r="E22" s="115">
        <v>463</v>
      </c>
      <c r="F22" s="115">
        <v>404</v>
      </c>
      <c r="G22" s="116">
        <v>10859</v>
      </c>
      <c r="H22" s="115"/>
      <c r="I22" s="176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x14ac:dyDescent="0.2">
      <c r="A23" s="166" t="s">
        <v>93</v>
      </c>
      <c r="B23" s="166" t="s">
        <v>21</v>
      </c>
      <c r="C23" s="166" t="s">
        <v>52</v>
      </c>
      <c r="D23" s="166" t="s">
        <v>58</v>
      </c>
      <c r="E23" s="166">
        <v>196</v>
      </c>
      <c r="F23" s="167">
        <v>1319</v>
      </c>
      <c r="G23" s="167">
        <v>23040</v>
      </c>
      <c r="H23" s="113"/>
      <c r="I23" s="181"/>
    </row>
    <row r="24" spans="1:39" x14ac:dyDescent="0.2">
      <c r="A24" s="166" t="s">
        <v>93</v>
      </c>
      <c r="B24" s="166" t="s">
        <v>21</v>
      </c>
      <c r="C24" s="166" t="s">
        <v>52</v>
      </c>
      <c r="D24" s="166" t="s">
        <v>60</v>
      </c>
      <c r="E24" s="166">
        <v>289</v>
      </c>
      <c r="F24" s="166">
        <v>490</v>
      </c>
      <c r="G24" s="167">
        <v>76064</v>
      </c>
      <c r="H24" s="113"/>
      <c r="I24" s="181"/>
    </row>
    <row r="25" spans="1:39" x14ac:dyDescent="0.2">
      <c r="A25" s="166" t="s">
        <v>93</v>
      </c>
      <c r="B25" s="166" t="s">
        <v>21</v>
      </c>
      <c r="C25" s="166" t="s">
        <v>52</v>
      </c>
      <c r="D25" s="166" t="s">
        <v>62</v>
      </c>
      <c r="E25" s="166">
        <v>195</v>
      </c>
      <c r="F25" s="167">
        <v>1196</v>
      </c>
      <c r="G25" s="167">
        <v>25147</v>
      </c>
      <c r="H25" s="113"/>
      <c r="I25" s="181"/>
    </row>
    <row r="26" spans="1:39" x14ac:dyDescent="0.2">
      <c r="A26" s="166" t="s">
        <v>93</v>
      </c>
      <c r="B26" s="166" t="s">
        <v>21</v>
      </c>
      <c r="C26" s="166" t="s">
        <v>52</v>
      </c>
      <c r="D26" s="166" t="s">
        <v>70</v>
      </c>
      <c r="E26" s="166">
        <v>196</v>
      </c>
      <c r="F26" s="166">
        <v>165</v>
      </c>
      <c r="G26" s="167">
        <v>2197</v>
      </c>
      <c r="H26" s="113"/>
      <c r="I26" s="181"/>
    </row>
    <row r="27" spans="1:39" x14ac:dyDescent="0.2">
      <c r="A27" s="166" t="s">
        <v>93</v>
      </c>
      <c r="B27" s="166" t="s">
        <v>21</v>
      </c>
      <c r="C27" s="166" t="s">
        <v>52</v>
      </c>
      <c r="D27" s="166" t="s">
        <v>117</v>
      </c>
      <c r="E27" s="166">
        <v>0</v>
      </c>
      <c r="F27" s="166">
        <v>357</v>
      </c>
      <c r="G27" s="167">
        <v>7103</v>
      </c>
      <c r="H27" s="113"/>
      <c r="I27" s="181"/>
    </row>
    <row r="28" spans="1:39" x14ac:dyDescent="0.2">
      <c r="A28" s="166" t="s">
        <v>93</v>
      </c>
      <c r="B28" s="166" t="s">
        <v>21</v>
      </c>
      <c r="C28" s="166" t="s">
        <v>52</v>
      </c>
      <c r="D28" s="166" t="s">
        <v>71</v>
      </c>
      <c r="E28" s="166">
        <v>981</v>
      </c>
      <c r="F28" s="167">
        <v>1686</v>
      </c>
      <c r="G28" s="167">
        <v>50350</v>
      </c>
      <c r="H28" s="113"/>
      <c r="I28" s="181"/>
    </row>
    <row r="29" spans="1:39" x14ac:dyDescent="0.2">
      <c r="A29" s="166" t="s">
        <v>93</v>
      </c>
      <c r="B29" s="166" t="s">
        <v>21</v>
      </c>
      <c r="C29" s="166" t="s">
        <v>52</v>
      </c>
      <c r="D29" s="166" t="s">
        <v>72</v>
      </c>
      <c r="E29" s="166">
        <v>533</v>
      </c>
      <c r="F29" s="167">
        <v>1016</v>
      </c>
      <c r="G29" s="167">
        <v>12554</v>
      </c>
      <c r="H29" s="113"/>
      <c r="I29" s="181">
        <v>205074</v>
      </c>
    </row>
    <row r="30" spans="1:39" x14ac:dyDescent="0.2">
      <c r="A30" s="177" t="s">
        <v>93</v>
      </c>
      <c r="B30" s="177" t="s">
        <v>21</v>
      </c>
      <c r="C30" s="177" t="s">
        <v>54</v>
      </c>
      <c r="D30" s="177" t="s">
        <v>87</v>
      </c>
      <c r="E30" s="177">
        <v>0</v>
      </c>
      <c r="F30" s="177">
        <v>12</v>
      </c>
      <c r="G30" s="177">
        <v>40</v>
      </c>
      <c r="H30" s="113"/>
      <c r="I30" s="181"/>
    </row>
    <row r="31" spans="1:39" x14ac:dyDescent="0.2">
      <c r="A31" s="177" t="s">
        <v>93</v>
      </c>
      <c r="B31" s="177" t="s">
        <v>21</v>
      </c>
      <c r="C31" s="177" t="s">
        <v>54</v>
      </c>
      <c r="D31" s="177" t="s">
        <v>72</v>
      </c>
      <c r="E31" s="178">
        <v>12310</v>
      </c>
      <c r="F31" s="178">
        <v>12364</v>
      </c>
      <c r="G31" s="178">
        <v>60910</v>
      </c>
      <c r="H31" s="113"/>
      <c r="I31" s="181"/>
    </row>
    <row r="32" spans="1:39" x14ac:dyDescent="0.2">
      <c r="A32" s="177" t="s">
        <v>93</v>
      </c>
      <c r="B32" s="177" t="s">
        <v>21</v>
      </c>
      <c r="C32" s="177" t="s">
        <v>55</v>
      </c>
      <c r="D32" s="177" t="s">
        <v>66</v>
      </c>
      <c r="E32" s="177">
        <v>0</v>
      </c>
      <c r="F32" s="177">
        <v>297</v>
      </c>
      <c r="G32" s="178">
        <v>1974</v>
      </c>
      <c r="H32" s="113"/>
      <c r="I32" s="181"/>
    </row>
    <row r="33" spans="1:9" x14ac:dyDescent="0.2">
      <c r="A33" s="177" t="s">
        <v>93</v>
      </c>
      <c r="B33" s="177" t="s">
        <v>21</v>
      </c>
      <c r="C33" s="177" t="s">
        <v>55</v>
      </c>
      <c r="D33" s="177" t="s">
        <v>67</v>
      </c>
      <c r="E33" s="177">
        <v>522</v>
      </c>
      <c r="F33" s="177">
        <v>301</v>
      </c>
      <c r="G33" s="177">
        <v>960</v>
      </c>
      <c r="H33" s="113"/>
      <c r="I33" s="181"/>
    </row>
    <row r="34" spans="1:9" x14ac:dyDescent="0.2">
      <c r="A34" s="177" t="s">
        <v>93</v>
      </c>
      <c r="B34" s="177" t="s">
        <v>21</v>
      </c>
      <c r="C34" s="177" t="s">
        <v>55</v>
      </c>
      <c r="D34" s="177" t="s">
        <v>68</v>
      </c>
      <c r="E34" s="178">
        <v>3671</v>
      </c>
      <c r="F34" s="178">
        <v>5591</v>
      </c>
      <c r="G34" s="178">
        <v>24781</v>
      </c>
      <c r="H34" s="113"/>
      <c r="I34" s="181"/>
    </row>
    <row r="35" spans="1:9" x14ac:dyDescent="0.2">
      <c r="A35" s="177" t="s">
        <v>93</v>
      </c>
      <c r="B35" s="177" t="s">
        <v>21</v>
      </c>
      <c r="C35" s="177" t="s">
        <v>55</v>
      </c>
      <c r="D35" s="177" t="s">
        <v>69</v>
      </c>
      <c r="E35" s="177">
        <v>100</v>
      </c>
      <c r="F35" s="177">
        <v>0</v>
      </c>
      <c r="G35" s="177">
        <v>372</v>
      </c>
      <c r="H35" s="113"/>
      <c r="I35" s="181"/>
    </row>
    <row r="36" spans="1:9" x14ac:dyDescent="0.2">
      <c r="A36" s="177" t="s">
        <v>93</v>
      </c>
      <c r="B36" s="177" t="s">
        <v>21</v>
      </c>
      <c r="C36" s="177" t="s">
        <v>55</v>
      </c>
      <c r="D36" s="177" t="s">
        <v>72</v>
      </c>
      <c r="E36" s="178">
        <v>2501</v>
      </c>
      <c r="F36" s="178">
        <v>2130</v>
      </c>
      <c r="G36" s="178">
        <v>16960</v>
      </c>
      <c r="H36" s="113"/>
      <c r="I36" s="181">
        <v>157522</v>
      </c>
    </row>
    <row r="37" spans="1:9" x14ac:dyDescent="0.2">
      <c r="A37" s="179" t="s">
        <v>93</v>
      </c>
      <c r="B37" s="179" t="s">
        <v>43</v>
      </c>
      <c r="C37" s="179" t="s">
        <v>21</v>
      </c>
      <c r="D37" s="179" t="s">
        <v>21</v>
      </c>
      <c r="E37" s="180">
        <v>8003</v>
      </c>
      <c r="F37" s="180">
        <v>16310</v>
      </c>
      <c r="G37" s="180">
        <v>42438</v>
      </c>
      <c r="H37" s="113"/>
      <c r="I37" s="181"/>
    </row>
    <row r="38" spans="1:9" x14ac:dyDescent="0.2">
      <c r="A38" s="179" t="s">
        <v>93</v>
      </c>
      <c r="B38" s="179" t="s">
        <v>43</v>
      </c>
      <c r="C38" s="179" t="s">
        <v>95</v>
      </c>
      <c r="D38" s="179" t="s">
        <v>63</v>
      </c>
      <c r="E38" s="179">
        <v>0</v>
      </c>
      <c r="F38" s="179">
        <v>0</v>
      </c>
      <c r="G38" s="179">
        <v>0</v>
      </c>
      <c r="H38" s="113"/>
      <c r="I38" s="181"/>
    </row>
    <row r="39" spans="1:9" x14ac:dyDescent="0.2">
      <c r="A39" s="179" t="s">
        <v>93</v>
      </c>
      <c r="B39" s="179" t="s">
        <v>43</v>
      </c>
      <c r="C39" s="179" t="s">
        <v>54</v>
      </c>
      <c r="D39" s="179" t="s">
        <v>72</v>
      </c>
      <c r="E39" s="179">
        <v>146</v>
      </c>
      <c r="F39" s="179">
        <v>315</v>
      </c>
      <c r="G39" s="179">
        <v>57</v>
      </c>
      <c r="H39" s="113"/>
      <c r="I39" s="181"/>
    </row>
    <row r="40" spans="1:9" x14ac:dyDescent="0.2">
      <c r="A40" s="179" t="s">
        <v>93</v>
      </c>
      <c r="B40" s="179" t="s">
        <v>43</v>
      </c>
      <c r="C40" s="179" t="s">
        <v>55</v>
      </c>
      <c r="D40" s="179" t="s">
        <v>68</v>
      </c>
      <c r="E40" s="179">
        <v>124</v>
      </c>
      <c r="F40" s="179">
        <v>0</v>
      </c>
      <c r="G40" s="180">
        <v>6422</v>
      </c>
      <c r="H40" s="113"/>
      <c r="I40" s="181"/>
    </row>
    <row r="41" spans="1:9" x14ac:dyDescent="0.2">
      <c r="A41" s="179" t="s">
        <v>93</v>
      </c>
      <c r="B41" s="179" t="s">
        <v>44</v>
      </c>
      <c r="C41" s="179" t="s">
        <v>21</v>
      </c>
      <c r="D41" s="179" t="s">
        <v>21</v>
      </c>
      <c r="E41" s="179">
        <v>989</v>
      </c>
      <c r="F41" s="179">
        <v>19</v>
      </c>
      <c r="G41" s="180">
        <v>7778</v>
      </c>
      <c r="H41" s="113"/>
      <c r="I41" s="181"/>
    </row>
    <row r="42" spans="1:9" x14ac:dyDescent="0.2">
      <c r="A42" s="179" t="s">
        <v>93</v>
      </c>
      <c r="B42" s="179" t="s">
        <v>45</v>
      </c>
      <c r="C42" s="179" t="s">
        <v>21</v>
      </c>
      <c r="D42" s="179" t="s">
        <v>21</v>
      </c>
      <c r="E42" s="180">
        <v>6542</v>
      </c>
      <c r="F42" s="180">
        <v>16131</v>
      </c>
      <c r="G42" s="180">
        <v>115901</v>
      </c>
      <c r="H42" s="113"/>
      <c r="I42" s="181"/>
    </row>
    <row r="43" spans="1:9" x14ac:dyDescent="0.2">
      <c r="A43" s="179" t="s">
        <v>93</v>
      </c>
      <c r="B43" s="179" t="s">
        <v>46</v>
      </c>
      <c r="C43" s="179" t="s">
        <v>21</v>
      </c>
      <c r="D43" s="179" t="s">
        <v>21</v>
      </c>
      <c r="E43" s="180">
        <v>3280</v>
      </c>
      <c r="F43" s="180">
        <v>4290</v>
      </c>
      <c r="G43" s="180">
        <v>39584</v>
      </c>
      <c r="H43" s="113"/>
      <c r="I43" s="181"/>
    </row>
    <row r="44" spans="1:9" x14ac:dyDescent="0.2">
      <c r="A44" s="179" t="s">
        <v>93</v>
      </c>
      <c r="B44" s="179" t="s">
        <v>46</v>
      </c>
      <c r="C44" s="179" t="s">
        <v>54</v>
      </c>
      <c r="D44" s="179" t="s">
        <v>72</v>
      </c>
      <c r="E44" s="179">
        <v>0</v>
      </c>
      <c r="F44" s="179">
        <v>151</v>
      </c>
      <c r="G44" s="179">
        <v>152</v>
      </c>
      <c r="H44" s="113"/>
      <c r="I44" s="181"/>
    </row>
    <row r="45" spans="1:9" x14ac:dyDescent="0.2">
      <c r="A45" s="179" t="s">
        <v>93</v>
      </c>
      <c r="B45" s="179" t="s">
        <v>105</v>
      </c>
      <c r="C45" s="179" t="s">
        <v>21</v>
      </c>
      <c r="D45" s="179" t="s">
        <v>21</v>
      </c>
      <c r="E45" s="180">
        <v>6667</v>
      </c>
      <c r="F45" s="179">
        <v>0</v>
      </c>
      <c r="G45" s="180">
        <v>13896</v>
      </c>
      <c r="H45" s="113"/>
      <c r="I45" s="181"/>
    </row>
    <row r="46" spans="1:9" x14ac:dyDescent="0.2">
      <c r="A46" s="179" t="s">
        <v>93</v>
      </c>
      <c r="B46" s="179" t="s">
        <v>47</v>
      </c>
      <c r="C46" s="179" t="s">
        <v>21</v>
      </c>
      <c r="D46" s="179" t="s">
        <v>21</v>
      </c>
      <c r="E46" s="179">
        <v>667</v>
      </c>
      <c r="F46" s="180">
        <v>1818</v>
      </c>
      <c r="G46" s="180">
        <v>11833</v>
      </c>
      <c r="H46" s="113"/>
      <c r="I46" s="181"/>
    </row>
    <row r="47" spans="1:9" x14ac:dyDescent="0.2">
      <c r="A47" s="179" t="s">
        <v>93</v>
      </c>
      <c r="B47" s="179" t="s">
        <v>48</v>
      </c>
      <c r="C47" s="179" t="s">
        <v>21</v>
      </c>
      <c r="D47" s="179" t="s">
        <v>21</v>
      </c>
      <c r="E47" s="180">
        <v>1596</v>
      </c>
      <c r="F47" s="180">
        <v>1622</v>
      </c>
      <c r="G47" s="180">
        <v>31791</v>
      </c>
      <c r="H47" s="113"/>
      <c r="I47" s="181"/>
    </row>
    <row r="48" spans="1:9" x14ac:dyDescent="0.2">
      <c r="A48" s="179" t="s">
        <v>93</v>
      </c>
      <c r="B48" s="179" t="s">
        <v>119</v>
      </c>
      <c r="C48" s="179" t="s">
        <v>21</v>
      </c>
      <c r="D48" s="179" t="s">
        <v>21</v>
      </c>
      <c r="E48" s="179">
        <v>113</v>
      </c>
      <c r="F48" s="179">
        <v>0</v>
      </c>
      <c r="G48" s="179">
        <v>738</v>
      </c>
      <c r="H48" s="113"/>
      <c r="I48" s="181"/>
    </row>
    <row r="49" spans="1:9" ht="13.5" customHeight="1" x14ac:dyDescent="0.2">
      <c r="A49" s="179" t="s">
        <v>93</v>
      </c>
      <c r="B49" s="179" t="s">
        <v>119</v>
      </c>
      <c r="C49" s="179" t="s">
        <v>95</v>
      </c>
      <c r="D49" s="179" t="s">
        <v>63</v>
      </c>
      <c r="E49" s="179">
        <v>0</v>
      </c>
      <c r="F49" s="179">
        <v>0</v>
      </c>
      <c r="G49" s="179">
        <v>3</v>
      </c>
      <c r="H49" s="113"/>
      <c r="I49" s="181"/>
    </row>
    <row r="50" spans="1:9" x14ac:dyDescent="0.2">
      <c r="A50" s="179" t="s">
        <v>93</v>
      </c>
      <c r="B50" s="179" t="s">
        <v>50</v>
      </c>
      <c r="C50" s="179" t="s">
        <v>21</v>
      </c>
      <c r="D50" s="179" t="s">
        <v>21</v>
      </c>
      <c r="E50" s="180">
        <v>1473</v>
      </c>
      <c r="F50" s="180">
        <v>7974</v>
      </c>
      <c r="G50" s="180">
        <v>26591</v>
      </c>
      <c r="H50" s="113"/>
      <c r="I50" s="181"/>
    </row>
    <row r="51" spans="1:9" x14ac:dyDescent="0.2">
      <c r="A51" s="179" t="s">
        <v>93</v>
      </c>
      <c r="B51" s="179" t="s">
        <v>50</v>
      </c>
      <c r="C51" s="179" t="s">
        <v>95</v>
      </c>
      <c r="D51" s="179" t="s">
        <v>63</v>
      </c>
      <c r="E51" s="179">
        <v>0</v>
      </c>
      <c r="F51" s="179">
        <v>0</v>
      </c>
      <c r="G51" s="179">
        <v>2</v>
      </c>
      <c r="H51" s="113"/>
      <c r="I51" s="181"/>
    </row>
    <row r="52" spans="1:9" x14ac:dyDescent="0.2">
      <c r="A52" s="179" t="s">
        <v>93</v>
      </c>
      <c r="B52" s="179" t="s">
        <v>50</v>
      </c>
      <c r="C52" s="179" t="s">
        <v>55</v>
      </c>
      <c r="D52" s="179" t="s">
        <v>66</v>
      </c>
      <c r="E52" s="179">
        <v>0</v>
      </c>
      <c r="F52" s="179">
        <v>209</v>
      </c>
      <c r="G52" s="179">
        <v>0</v>
      </c>
      <c r="H52" s="113"/>
      <c r="I52" s="181"/>
    </row>
    <row r="53" spans="1:9" x14ac:dyDescent="0.2">
      <c r="A53" s="179" t="s">
        <v>93</v>
      </c>
      <c r="B53" s="179" t="s">
        <v>106</v>
      </c>
      <c r="C53" s="179" t="s">
        <v>21</v>
      </c>
      <c r="D53" s="179" t="s">
        <v>21</v>
      </c>
      <c r="E53" s="179">
        <v>0</v>
      </c>
      <c r="F53" s="180">
        <v>1087</v>
      </c>
      <c r="G53" s="180">
        <v>1239</v>
      </c>
      <c r="H53" s="113"/>
      <c r="I53" s="181"/>
    </row>
    <row r="54" spans="1:9" x14ac:dyDescent="0.2">
      <c r="A54" s="179" t="s">
        <v>93</v>
      </c>
      <c r="B54" s="179" t="s">
        <v>107</v>
      </c>
      <c r="C54" s="179" t="s">
        <v>21</v>
      </c>
      <c r="D54" s="179" t="s">
        <v>21</v>
      </c>
      <c r="E54" s="179">
        <v>0</v>
      </c>
      <c r="F54" s="180">
        <v>1004</v>
      </c>
      <c r="G54" s="179">
        <v>0</v>
      </c>
      <c r="H54" s="113"/>
      <c r="I54" s="181">
        <v>378955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C4F6-6208-4C56-B1D2-0B1BBE426069}">
  <dimension ref="A1:G23"/>
  <sheetViews>
    <sheetView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439</v>
      </c>
      <c r="B8" s="340" t="s">
        <v>38</v>
      </c>
      <c r="C8" s="340" t="s">
        <v>3</v>
      </c>
      <c r="D8" s="342">
        <v>328.28</v>
      </c>
      <c r="E8" s="342">
        <v>0</v>
      </c>
      <c r="F8" s="342">
        <v>3027.85</v>
      </c>
    </row>
    <row r="9" spans="1:7" x14ac:dyDescent="0.25">
      <c r="A9" s="340" t="s">
        <v>439</v>
      </c>
      <c r="B9" s="340" t="s">
        <v>38</v>
      </c>
      <c r="C9" s="340" t="s">
        <v>323</v>
      </c>
      <c r="D9" s="342">
        <v>4797.74</v>
      </c>
      <c r="E9" s="342">
        <v>561.91</v>
      </c>
      <c r="F9" s="342">
        <v>51170.94</v>
      </c>
    </row>
    <row r="10" spans="1:7" x14ac:dyDescent="0.25">
      <c r="A10" s="340" t="s">
        <v>439</v>
      </c>
      <c r="B10" s="340" t="s">
        <v>38</v>
      </c>
      <c r="C10" s="340" t="s">
        <v>41</v>
      </c>
      <c r="D10" s="342">
        <v>59435.040000000001</v>
      </c>
      <c r="E10" s="342">
        <v>72251.87</v>
      </c>
      <c r="F10" s="342">
        <v>1162310.75</v>
      </c>
    </row>
    <row r="11" spans="1:7" x14ac:dyDescent="0.25">
      <c r="A11" s="340" t="s">
        <v>439</v>
      </c>
      <c r="B11" s="340" t="s">
        <v>39</v>
      </c>
      <c r="C11" s="340" t="s">
        <v>41</v>
      </c>
      <c r="D11" s="342">
        <v>10451.299999999999</v>
      </c>
      <c r="E11" s="342">
        <v>21556.45</v>
      </c>
      <c r="F11" s="342">
        <v>100044.03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1293997.6599999999</v>
      </c>
      <c r="E14" s="390"/>
      <c r="F14" s="417"/>
    </row>
    <row r="15" spans="1:7" x14ac:dyDescent="0.25">
      <c r="A15" s="336" t="s">
        <v>39</v>
      </c>
      <c r="B15" s="415">
        <f>SUM(D11:F11)</f>
        <v>132051.78</v>
      </c>
    </row>
    <row r="16" spans="1:7" x14ac:dyDescent="0.25">
      <c r="A16" s="336" t="s">
        <v>2</v>
      </c>
      <c r="B16" s="415">
        <f>SUM(D9:F9)</f>
        <v>56530.590000000004</v>
      </c>
    </row>
    <row r="17" spans="1:6" x14ac:dyDescent="0.25">
      <c r="A17" s="336" t="s">
        <v>3</v>
      </c>
      <c r="B17" s="415">
        <f>SUM(D8:F8)</f>
        <v>3356.13</v>
      </c>
    </row>
    <row r="18" spans="1:6" ht="15.75" thickBot="1" x14ac:dyDescent="0.3">
      <c r="A18" s="361"/>
      <c r="B18" s="416">
        <f>SUM(B14:B17)</f>
        <v>1485936.16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K50"/>
  <sheetViews>
    <sheetView workbookViewId="0"/>
  </sheetViews>
  <sheetFormatPr defaultRowHeight="12.75" x14ac:dyDescent="0.2"/>
  <cols>
    <col min="2" max="2" width="20.42578125" customWidth="1"/>
    <col min="3" max="3" width="14.28515625" customWidth="1"/>
    <col min="4" max="4" width="23.28515625" customWidth="1"/>
    <col min="9" max="9" width="25.7109375" style="4" customWidth="1"/>
    <col min="10" max="10" width="19.28515625" customWidth="1"/>
    <col min="11" max="11" width="13.140625" customWidth="1"/>
  </cols>
  <sheetData>
    <row r="1" spans="1:11" x14ac:dyDescent="0.2">
      <c r="A1" s="121" t="s">
        <v>77</v>
      </c>
      <c r="B1" s="129"/>
      <c r="C1" s="129"/>
      <c r="D1" s="130"/>
      <c r="I1" s="4" t="s">
        <v>79</v>
      </c>
    </row>
    <row r="2" spans="1:11" x14ac:dyDescent="0.2">
      <c r="A2" s="140" t="s">
        <v>73</v>
      </c>
      <c r="B2" s="141"/>
      <c r="C2" s="141"/>
      <c r="D2" s="142"/>
      <c r="I2" s="4" t="s">
        <v>38</v>
      </c>
      <c r="J2" s="83">
        <f>SUM(D10:F10)</f>
        <v>652190</v>
      </c>
    </row>
    <row r="3" spans="1:11" x14ac:dyDescent="0.2">
      <c r="A3" s="140" t="s">
        <v>74</v>
      </c>
      <c r="B3" s="141"/>
      <c r="C3" s="141"/>
      <c r="D3" s="142"/>
      <c r="I3" s="4" t="s">
        <v>39</v>
      </c>
      <c r="J3" s="83">
        <f>SUM(D11:F11)</f>
        <v>197533</v>
      </c>
    </row>
    <row r="4" spans="1:11" x14ac:dyDescent="0.2">
      <c r="A4" s="140" t="s">
        <v>92</v>
      </c>
      <c r="B4" s="141"/>
      <c r="C4" s="141"/>
      <c r="D4" s="142"/>
      <c r="I4" s="4" t="s">
        <v>2</v>
      </c>
      <c r="J4" s="83">
        <f>1255771-1219209</f>
        <v>36562</v>
      </c>
    </row>
    <row r="5" spans="1:11" ht="13.5" thickBot="1" x14ac:dyDescent="0.25">
      <c r="A5" s="143" t="s">
        <v>76</v>
      </c>
      <c r="B5" s="144"/>
      <c r="C5" s="144"/>
      <c r="D5" s="145"/>
      <c r="I5" s="4" t="s">
        <v>3</v>
      </c>
      <c r="J5" s="83">
        <f>SUM(D9:F9)</f>
        <v>13136</v>
      </c>
    </row>
    <row r="6" spans="1:11" ht="13.5" thickBot="1" x14ac:dyDescent="0.25">
      <c r="J6" s="160">
        <f>SUM(J2:J5)</f>
        <v>899421</v>
      </c>
      <c r="K6" s="153" t="s">
        <v>116</v>
      </c>
    </row>
    <row r="8" spans="1:11" x14ac:dyDescent="0.2">
      <c r="A8" s="162" t="s">
        <v>32</v>
      </c>
      <c r="B8" s="162" t="s">
        <v>33</v>
      </c>
      <c r="C8" s="162" t="s">
        <v>40</v>
      </c>
      <c r="D8" s="162" t="s">
        <v>34</v>
      </c>
      <c r="E8" s="162" t="s">
        <v>35</v>
      </c>
      <c r="F8" s="162" t="s">
        <v>103</v>
      </c>
    </row>
    <row r="9" spans="1:11" x14ac:dyDescent="0.2">
      <c r="A9" s="113" t="s">
        <v>93</v>
      </c>
      <c r="B9" s="113" t="s">
        <v>38</v>
      </c>
      <c r="C9" s="113" t="s">
        <v>3</v>
      </c>
      <c r="D9" s="113">
        <v>0</v>
      </c>
      <c r="E9" s="113">
        <v>599</v>
      </c>
      <c r="F9" s="114">
        <v>12537</v>
      </c>
    </row>
    <row r="10" spans="1:11" x14ac:dyDescent="0.2">
      <c r="A10" s="113" t="s">
        <v>93</v>
      </c>
      <c r="B10" s="113" t="s">
        <v>38</v>
      </c>
      <c r="C10" s="113" t="s">
        <v>41</v>
      </c>
      <c r="D10" s="114">
        <v>99495</v>
      </c>
      <c r="E10" s="114">
        <v>73202</v>
      </c>
      <c r="F10" s="114">
        <v>479493</v>
      </c>
    </row>
    <row r="11" spans="1:11" x14ac:dyDescent="0.2">
      <c r="A11" s="113" t="s">
        <v>93</v>
      </c>
      <c r="B11" s="113" t="s">
        <v>39</v>
      </c>
      <c r="C11" s="113" t="s">
        <v>41</v>
      </c>
      <c r="D11" s="114">
        <v>32759</v>
      </c>
      <c r="E11" s="114">
        <v>15167</v>
      </c>
      <c r="F11" s="114">
        <v>149607</v>
      </c>
    </row>
    <row r="12" spans="1:11" x14ac:dyDescent="0.2">
      <c r="A12" s="113"/>
      <c r="B12" s="113"/>
      <c r="C12" s="113"/>
      <c r="D12" s="113"/>
      <c r="E12" s="113"/>
      <c r="F12" s="113"/>
    </row>
    <row r="13" spans="1:11" x14ac:dyDescent="0.2">
      <c r="A13" s="69"/>
      <c r="B13" s="69"/>
      <c r="C13" s="69"/>
      <c r="D13" s="69"/>
      <c r="E13" s="69"/>
      <c r="F13" s="69"/>
      <c r="G13" s="69"/>
      <c r="H13" s="69"/>
      <c r="I13" s="152"/>
      <c r="J13" s="69"/>
      <c r="K13" s="69"/>
    </row>
    <row r="14" spans="1:11" ht="13.5" thickBot="1" x14ac:dyDescent="0.25">
      <c r="A14" s="69"/>
      <c r="B14" s="69"/>
      <c r="C14" s="69"/>
      <c r="D14" s="69"/>
      <c r="E14" s="69"/>
      <c r="F14" s="69"/>
      <c r="G14" s="69"/>
      <c r="H14" s="69"/>
      <c r="I14" s="152"/>
      <c r="J14" s="69"/>
      <c r="K14" s="69"/>
    </row>
    <row r="15" spans="1:11" x14ac:dyDescent="0.2">
      <c r="A15" s="121" t="s">
        <v>83</v>
      </c>
      <c r="B15" s="122"/>
      <c r="C15" s="122"/>
      <c r="D15" s="122"/>
      <c r="E15" s="129"/>
      <c r="F15" s="130"/>
      <c r="I15" t="s">
        <v>42</v>
      </c>
      <c r="J15" s="98">
        <v>0.19</v>
      </c>
    </row>
    <row r="16" spans="1:11" x14ac:dyDescent="0.2">
      <c r="A16" s="124" t="s">
        <v>92</v>
      </c>
      <c r="B16" s="59"/>
      <c r="C16" s="59"/>
      <c r="D16" s="59"/>
      <c r="E16" s="60"/>
      <c r="F16" s="132"/>
      <c r="I16" t="s">
        <v>78</v>
      </c>
      <c r="J16" s="98">
        <f>I50/J6</f>
        <v>0.44106486283953789</v>
      </c>
    </row>
    <row r="17" spans="1:11" ht="13.5" thickBot="1" x14ac:dyDescent="0.25">
      <c r="A17" s="126" t="s">
        <v>76</v>
      </c>
      <c r="B17" s="127"/>
      <c r="C17" s="127"/>
      <c r="D17" s="127"/>
      <c r="E17" s="134"/>
      <c r="F17" s="135"/>
      <c r="I17" t="s">
        <v>81</v>
      </c>
      <c r="J17" s="98">
        <f>I28/J6</f>
        <v>0.24543122742297543</v>
      </c>
    </row>
    <row r="18" spans="1:11" ht="13.5" thickBot="1" x14ac:dyDescent="0.25">
      <c r="A18" s="69"/>
      <c r="B18" s="69"/>
      <c r="C18" s="69"/>
      <c r="D18" s="69"/>
      <c r="E18" s="69"/>
      <c r="F18" s="69"/>
      <c r="G18" s="69"/>
      <c r="H18" s="69"/>
      <c r="I18" s="152"/>
      <c r="J18" s="174">
        <f>SUM(J15:J17)</f>
        <v>0.87649609026251329</v>
      </c>
      <c r="K18" s="69"/>
    </row>
    <row r="19" spans="1:11" ht="13.5" thickBot="1" x14ac:dyDescent="0.25">
      <c r="A19" s="163" t="s">
        <v>32</v>
      </c>
      <c r="B19" s="164" t="s">
        <v>42</v>
      </c>
      <c r="C19" s="164" t="s">
        <v>51</v>
      </c>
      <c r="D19" s="164" t="s">
        <v>57</v>
      </c>
      <c r="E19" s="164" t="s">
        <v>34</v>
      </c>
      <c r="F19" s="164" t="s">
        <v>35</v>
      </c>
      <c r="G19" s="165" t="s">
        <v>103</v>
      </c>
    </row>
    <row r="20" spans="1:11" ht="13.5" thickBot="1" x14ac:dyDescent="0.25">
      <c r="A20" s="113" t="s">
        <v>93</v>
      </c>
      <c r="B20" s="113" t="s">
        <v>21</v>
      </c>
      <c r="C20" s="113" t="s">
        <v>21</v>
      </c>
      <c r="D20" s="113" t="s">
        <v>21</v>
      </c>
      <c r="E20" s="114">
        <v>34007</v>
      </c>
      <c r="F20" s="114">
        <v>10880</v>
      </c>
      <c r="G20" s="114">
        <v>55076</v>
      </c>
      <c r="H20" s="53" t="s">
        <v>21</v>
      </c>
      <c r="I20" s="173">
        <v>99963</v>
      </c>
    </row>
    <row r="21" spans="1:11" x14ac:dyDescent="0.2">
      <c r="A21" s="115" t="s">
        <v>93</v>
      </c>
      <c r="B21" s="115" t="s">
        <v>21</v>
      </c>
      <c r="C21" s="115" t="s">
        <v>95</v>
      </c>
      <c r="D21" s="115" t="s">
        <v>63</v>
      </c>
      <c r="E21" s="116">
        <v>5973</v>
      </c>
      <c r="F21" s="116">
        <v>7959</v>
      </c>
      <c r="G21" s="116">
        <v>18450</v>
      </c>
    </row>
    <row r="22" spans="1:11" x14ac:dyDescent="0.2">
      <c r="A22" s="166" t="s">
        <v>93</v>
      </c>
      <c r="B22" s="166" t="s">
        <v>21</v>
      </c>
      <c r="C22" s="166" t="s">
        <v>52</v>
      </c>
      <c r="D22" s="166" t="s">
        <v>58</v>
      </c>
      <c r="E22" s="167">
        <v>1319</v>
      </c>
      <c r="F22" s="166">
        <v>0</v>
      </c>
      <c r="G22" s="167">
        <v>22963</v>
      </c>
    </row>
    <row r="23" spans="1:11" x14ac:dyDescent="0.2">
      <c r="A23" s="166" t="s">
        <v>93</v>
      </c>
      <c r="B23" s="166" t="s">
        <v>21</v>
      </c>
      <c r="C23" s="166" t="s">
        <v>52</v>
      </c>
      <c r="D23" s="166" t="s">
        <v>60</v>
      </c>
      <c r="E23" s="166">
        <v>609</v>
      </c>
      <c r="F23" s="167">
        <v>22228</v>
      </c>
      <c r="G23" s="167">
        <v>61692</v>
      </c>
    </row>
    <row r="24" spans="1:11" x14ac:dyDescent="0.2">
      <c r="A24" s="166" t="s">
        <v>93</v>
      </c>
      <c r="B24" s="166" t="s">
        <v>21</v>
      </c>
      <c r="C24" s="166" t="s">
        <v>52</v>
      </c>
      <c r="D24" s="166" t="s">
        <v>62</v>
      </c>
      <c r="E24" s="167">
        <v>1160</v>
      </c>
      <c r="F24" s="166">
        <v>133</v>
      </c>
      <c r="G24" s="167">
        <v>27005</v>
      </c>
    </row>
    <row r="25" spans="1:11" x14ac:dyDescent="0.2">
      <c r="A25" s="166" t="s">
        <v>93</v>
      </c>
      <c r="B25" s="166" t="s">
        <v>21</v>
      </c>
      <c r="C25" s="166" t="s">
        <v>52</v>
      </c>
      <c r="D25" s="166" t="s">
        <v>70</v>
      </c>
      <c r="E25" s="166">
        <v>330</v>
      </c>
      <c r="F25" s="166">
        <v>427</v>
      </c>
      <c r="G25" s="167">
        <v>1819</v>
      </c>
    </row>
    <row r="26" spans="1:11" x14ac:dyDescent="0.2">
      <c r="A26" s="166" t="s">
        <v>93</v>
      </c>
      <c r="B26" s="166" t="s">
        <v>21</v>
      </c>
      <c r="C26" s="166" t="s">
        <v>52</v>
      </c>
      <c r="D26" s="166" t="s">
        <v>117</v>
      </c>
      <c r="E26" s="166">
        <v>0</v>
      </c>
      <c r="F26" s="166">
        <v>0</v>
      </c>
      <c r="G26" s="166">
        <v>912</v>
      </c>
    </row>
    <row r="27" spans="1:11" x14ac:dyDescent="0.2">
      <c r="A27" s="166" t="s">
        <v>93</v>
      </c>
      <c r="B27" s="166" t="s">
        <v>21</v>
      </c>
      <c r="C27" s="166" t="s">
        <v>52</v>
      </c>
      <c r="D27" s="166" t="s">
        <v>71</v>
      </c>
      <c r="E27" s="167">
        <v>1663</v>
      </c>
      <c r="F27" s="166">
        <v>420</v>
      </c>
      <c r="G27" s="167">
        <v>49773</v>
      </c>
    </row>
    <row r="28" spans="1:11" x14ac:dyDescent="0.2">
      <c r="A28" s="166" t="s">
        <v>93</v>
      </c>
      <c r="B28" s="166" t="s">
        <v>21</v>
      </c>
      <c r="C28" s="166" t="s">
        <v>52</v>
      </c>
      <c r="D28" s="166" t="s">
        <v>72</v>
      </c>
      <c r="E28" s="167">
        <v>2372</v>
      </c>
      <c r="F28" s="167">
        <v>1268</v>
      </c>
      <c r="G28" s="167">
        <v>24653</v>
      </c>
      <c r="I28" s="171">
        <v>220746</v>
      </c>
    </row>
    <row r="29" spans="1:11" x14ac:dyDescent="0.2">
      <c r="A29" s="115" t="s">
        <v>93</v>
      </c>
      <c r="B29" s="115" t="s">
        <v>21</v>
      </c>
      <c r="C29" s="115" t="s">
        <v>54</v>
      </c>
      <c r="D29" s="115" t="s">
        <v>87</v>
      </c>
      <c r="E29" s="115">
        <v>68</v>
      </c>
      <c r="F29" s="115">
        <v>0</v>
      </c>
      <c r="G29" s="115">
        <v>0</v>
      </c>
    </row>
    <row r="30" spans="1:11" x14ac:dyDescent="0.2">
      <c r="A30" s="115" t="s">
        <v>93</v>
      </c>
      <c r="B30" s="115" t="s">
        <v>21</v>
      </c>
      <c r="C30" s="115" t="s">
        <v>54</v>
      </c>
      <c r="D30" s="115" t="s">
        <v>72</v>
      </c>
      <c r="E30" s="116">
        <v>8492</v>
      </c>
      <c r="F30" s="116">
        <v>3996</v>
      </c>
      <c r="G30" s="116">
        <v>37780</v>
      </c>
    </row>
    <row r="31" spans="1:11" x14ac:dyDescent="0.2">
      <c r="A31" s="115" t="s">
        <v>93</v>
      </c>
      <c r="B31" s="115" t="s">
        <v>21</v>
      </c>
      <c r="C31" s="115" t="s">
        <v>55</v>
      </c>
      <c r="D31" s="115" t="s">
        <v>66</v>
      </c>
      <c r="E31" s="115">
        <v>256</v>
      </c>
      <c r="F31" s="115">
        <v>0</v>
      </c>
      <c r="G31" s="116">
        <v>1744</v>
      </c>
    </row>
    <row r="32" spans="1:11" x14ac:dyDescent="0.2">
      <c r="A32" s="115" t="s">
        <v>93</v>
      </c>
      <c r="B32" s="115" t="s">
        <v>21</v>
      </c>
      <c r="C32" s="115" t="s">
        <v>55</v>
      </c>
      <c r="D32" s="115" t="s">
        <v>67</v>
      </c>
      <c r="E32" s="115">
        <v>380</v>
      </c>
      <c r="F32" s="115">
        <v>0</v>
      </c>
      <c r="G32" s="116">
        <v>1007</v>
      </c>
    </row>
    <row r="33" spans="1:9" x14ac:dyDescent="0.2">
      <c r="A33" s="115" t="s">
        <v>93</v>
      </c>
      <c r="B33" s="115" t="s">
        <v>21</v>
      </c>
      <c r="C33" s="115" t="s">
        <v>55</v>
      </c>
      <c r="D33" s="115" t="s">
        <v>68</v>
      </c>
      <c r="E33" s="116">
        <v>2814</v>
      </c>
      <c r="F33" s="116">
        <v>1479</v>
      </c>
      <c r="G33" s="116">
        <v>13410</v>
      </c>
    </row>
    <row r="34" spans="1:9" x14ac:dyDescent="0.2">
      <c r="A34" s="115" t="s">
        <v>93</v>
      </c>
      <c r="B34" s="115" t="s">
        <v>21</v>
      </c>
      <c r="C34" s="115" t="s">
        <v>55</v>
      </c>
      <c r="D34" s="115" t="s">
        <v>72</v>
      </c>
      <c r="E34" s="116">
        <v>9177</v>
      </c>
      <c r="F34" s="116">
        <v>4390</v>
      </c>
      <c r="G34" s="116">
        <v>28074</v>
      </c>
      <c r="I34" s="170">
        <v>145449</v>
      </c>
    </row>
    <row r="35" spans="1:9" x14ac:dyDescent="0.2">
      <c r="A35" s="168" t="s">
        <v>93</v>
      </c>
      <c r="B35" s="168" t="s">
        <v>43</v>
      </c>
      <c r="C35" s="168" t="s">
        <v>21</v>
      </c>
      <c r="D35" s="168" t="s">
        <v>21</v>
      </c>
      <c r="E35" s="169">
        <v>21187</v>
      </c>
      <c r="F35" s="169">
        <v>8980</v>
      </c>
      <c r="G35" s="169">
        <v>58080</v>
      </c>
    </row>
    <row r="36" spans="1:9" x14ac:dyDescent="0.2">
      <c r="A36" s="168" t="s">
        <v>93</v>
      </c>
      <c r="B36" s="168" t="s">
        <v>43</v>
      </c>
      <c r="C36" s="168" t="s">
        <v>95</v>
      </c>
      <c r="D36" s="168" t="s">
        <v>63</v>
      </c>
      <c r="E36" s="168">
        <v>0</v>
      </c>
      <c r="F36" s="168">
        <v>0</v>
      </c>
      <c r="G36" s="168">
        <v>0</v>
      </c>
    </row>
    <row r="37" spans="1:9" x14ac:dyDescent="0.2">
      <c r="A37" s="168" t="s">
        <v>93</v>
      </c>
      <c r="B37" s="168" t="s">
        <v>43</v>
      </c>
      <c r="C37" s="168" t="s">
        <v>54</v>
      </c>
      <c r="D37" s="168" t="s">
        <v>72</v>
      </c>
      <c r="E37" s="168">
        <v>0</v>
      </c>
      <c r="F37" s="168">
        <v>0</v>
      </c>
      <c r="G37" s="168">
        <v>425</v>
      </c>
    </row>
    <row r="38" spans="1:9" x14ac:dyDescent="0.2">
      <c r="A38" s="168" t="s">
        <v>93</v>
      </c>
      <c r="B38" s="168" t="s">
        <v>43</v>
      </c>
      <c r="C38" s="168" t="s">
        <v>55</v>
      </c>
      <c r="D38" s="168" t="s">
        <v>67</v>
      </c>
      <c r="E38" s="168">
        <v>219</v>
      </c>
      <c r="F38" s="168">
        <v>0</v>
      </c>
      <c r="G38" s="168">
        <v>280</v>
      </c>
    </row>
    <row r="39" spans="1:9" x14ac:dyDescent="0.2">
      <c r="A39" s="168" t="s">
        <v>93</v>
      </c>
      <c r="B39" s="168" t="s">
        <v>44</v>
      </c>
      <c r="C39" s="168" t="s">
        <v>21</v>
      </c>
      <c r="D39" s="168" t="s">
        <v>21</v>
      </c>
      <c r="E39" s="168">
        <v>0</v>
      </c>
      <c r="F39" s="168">
        <v>558</v>
      </c>
      <c r="G39" s="169">
        <v>7869</v>
      </c>
    </row>
    <row r="40" spans="1:9" x14ac:dyDescent="0.2">
      <c r="A40" s="168" t="s">
        <v>93</v>
      </c>
      <c r="B40" s="168" t="s">
        <v>45</v>
      </c>
      <c r="C40" s="168" t="s">
        <v>21</v>
      </c>
      <c r="D40" s="168" t="s">
        <v>21</v>
      </c>
      <c r="E40" s="169">
        <v>17498</v>
      </c>
      <c r="F40" s="169">
        <v>8281</v>
      </c>
      <c r="G40" s="169">
        <v>125532</v>
      </c>
    </row>
    <row r="41" spans="1:9" x14ac:dyDescent="0.2">
      <c r="A41" s="168" t="s">
        <v>93</v>
      </c>
      <c r="B41" s="168" t="s">
        <v>45</v>
      </c>
      <c r="C41" s="168" t="s">
        <v>54</v>
      </c>
      <c r="D41" s="168" t="s">
        <v>65</v>
      </c>
      <c r="E41" s="168">
        <v>0</v>
      </c>
      <c r="F41" s="168">
        <v>0</v>
      </c>
      <c r="G41" s="168">
        <v>0</v>
      </c>
    </row>
    <row r="42" spans="1:9" x14ac:dyDescent="0.2">
      <c r="A42" s="168" t="s">
        <v>93</v>
      </c>
      <c r="B42" s="168" t="s">
        <v>46</v>
      </c>
      <c r="C42" s="168" t="s">
        <v>21</v>
      </c>
      <c r="D42" s="168" t="s">
        <v>21</v>
      </c>
      <c r="E42" s="169">
        <v>4660</v>
      </c>
      <c r="F42" s="169">
        <v>9010</v>
      </c>
      <c r="G42" s="169">
        <v>36360</v>
      </c>
    </row>
    <row r="43" spans="1:9" x14ac:dyDescent="0.2">
      <c r="A43" s="168" t="s">
        <v>93</v>
      </c>
      <c r="B43" s="168" t="s">
        <v>105</v>
      </c>
      <c r="C43" s="168" t="s">
        <v>21</v>
      </c>
      <c r="D43" s="168" t="s">
        <v>21</v>
      </c>
      <c r="E43" s="168">
        <v>335</v>
      </c>
      <c r="F43" s="169">
        <v>1299</v>
      </c>
      <c r="G43" s="169">
        <v>6657</v>
      </c>
    </row>
    <row r="44" spans="1:9" x14ac:dyDescent="0.2">
      <c r="A44" s="168" t="s">
        <v>93</v>
      </c>
      <c r="B44" s="168" t="s">
        <v>47</v>
      </c>
      <c r="C44" s="168" t="s">
        <v>21</v>
      </c>
      <c r="D44" s="168" t="s">
        <v>21</v>
      </c>
      <c r="E44" s="169">
        <v>2114</v>
      </c>
      <c r="F44" s="169">
        <v>1191</v>
      </c>
      <c r="G44" s="169">
        <v>11648</v>
      </c>
    </row>
    <row r="45" spans="1:9" x14ac:dyDescent="0.2">
      <c r="A45" s="168" t="s">
        <v>93</v>
      </c>
      <c r="B45" s="168" t="s">
        <v>48</v>
      </c>
      <c r="C45" s="168" t="s">
        <v>21</v>
      </c>
      <c r="D45" s="168" t="s">
        <v>21</v>
      </c>
      <c r="E45" s="169">
        <v>1622</v>
      </c>
      <c r="F45" s="169">
        <v>2769</v>
      </c>
      <c r="G45" s="169">
        <v>31280</v>
      </c>
    </row>
    <row r="46" spans="1:9" x14ac:dyDescent="0.2">
      <c r="A46" s="168" t="s">
        <v>93</v>
      </c>
      <c r="B46" s="168" t="s">
        <v>49</v>
      </c>
      <c r="C46" s="168" t="s">
        <v>21</v>
      </c>
      <c r="D46" s="168" t="s">
        <v>21</v>
      </c>
      <c r="E46" s="168">
        <v>0</v>
      </c>
      <c r="F46" s="168">
        <v>0</v>
      </c>
      <c r="G46" s="168">
        <v>0</v>
      </c>
    </row>
    <row r="47" spans="1:9" x14ac:dyDescent="0.2">
      <c r="A47" s="168" t="s">
        <v>93</v>
      </c>
      <c r="B47" s="168" t="s">
        <v>50</v>
      </c>
      <c r="C47" s="168" t="s">
        <v>21</v>
      </c>
      <c r="D47" s="168" t="s">
        <v>21</v>
      </c>
      <c r="E47" s="169">
        <v>10037</v>
      </c>
      <c r="F47" s="169">
        <v>3365</v>
      </c>
      <c r="G47" s="169">
        <v>17442</v>
      </c>
    </row>
    <row r="48" spans="1:9" x14ac:dyDescent="0.2">
      <c r="A48" s="168" t="s">
        <v>93</v>
      </c>
      <c r="B48" s="168" t="s">
        <v>50</v>
      </c>
      <c r="C48" s="168" t="s">
        <v>54</v>
      </c>
      <c r="D48" s="168" t="s">
        <v>72</v>
      </c>
      <c r="E48" s="168">
        <v>420</v>
      </c>
      <c r="F48" s="168">
        <v>0</v>
      </c>
      <c r="G48" s="168">
        <v>3</v>
      </c>
    </row>
    <row r="49" spans="1:9" x14ac:dyDescent="0.2">
      <c r="A49" s="168" t="s">
        <v>93</v>
      </c>
      <c r="B49" s="168" t="s">
        <v>106</v>
      </c>
      <c r="C49" s="168" t="s">
        <v>21</v>
      </c>
      <c r="D49" s="168" t="s">
        <v>21</v>
      </c>
      <c r="E49" s="169">
        <v>1321</v>
      </c>
      <c r="F49" s="168">
        <v>336</v>
      </c>
      <c r="G49" s="169">
        <v>1702</v>
      </c>
    </row>
    <row r="50" spans="1:9" x14ac:dyDescent="0.2">
      <c r="A50" s="168" t="s">
        <v>93</v>
      </c>
      <c r="B50" s="168" t="s">
        <v>107</v>
      </c>
      <c r="C50" s="168" t="s">
        <v>21</v>
      </c>
      <c r="D50" s="168" t="s">
        <v>21</v>
      </c>
      <c r="E50" s="169">
        <v>4221</v>
      </c>
      <c r="F50" s="168">
        <v>0</v>
      </c>
      <c r="G50" s="168">
        <v>2</v>
      </c>
      <c r="I50" s="172">
        <v>396703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AK42"/>
  <sheetViews>
    <sheetView workbookViewId="0"/>
  </sheetViews>
  <sheetFormatPr defaultRowHeight="12.75" x14ac:dyDescent="0.2"/>
  <cols>
    <col min="2" max="2" width="29.140625" customWidth="1"/>
    <col min="3" max="3" width="24.28515625" customWidth="1"/>
    <col min="4" max="4" width="22.140625" customWidth="1"/>
    <col min="6" max="6" width="10.85546875" customWidth="1"/>
    <col min="7" max="7" width="10" customWidth="1"/>
    <col min="8" max="8" width="3.7109375" customWidth="1"/>
    <col min="9" max="9" width="20.28515625" customWidth="1"/>
    <col min="10" max="10" width="12.5703125" customWidth="1"/>
  </cols>
  <sheetData>
    <row r="1" spans="1:37" x14ac:dyDescent="0.2">
      <c r="A1" s="121" t="s">
        <v>77</v>
      </c>
      <c r="B1" s="129"/>
      <c r="C1" s="129"/>
      <c r="D1" s="130"/>
      <c r="I1" t="s">
        <v>79</v>
      </c>
    </row>
    <row r="2" spans="1:37" x14ac:dyDescent="0.2">
      <c r="A2" s="140" t="s">
        <v>73</v>
      </c>
      <c r="B2" s="141"/>
      <c r="C2" s="141"/>
      <c r="D2" s="142"/>
      <c r="I2" t="s">
        <v>38</v>
      </c>
      <c r="J2" s="83">
        <f>SUM(D11:F11)</f>
        <v>622635</v>
      </c>
    </row>
    <row r="3" spans="1:37" x14ac:dyDescent="0.2">
      <c r="A3" s="140" t="s">
        <v>74</v>
      </c>
      <c r="B3" s="141"/>
      <c r="C3" s="141"/>
      <c r="D3" s="142"/>
      <c r="I3" t="s">
        <v>39</v>
      </c>
      <c r="J3" s="83">
        <f>SUM(D12:F12)</f>
        <v>175309</v>
      </c>
    </row>
    <row r="4" spans="1:37" x14ac:dyDescent="0.2">
      <c r="A4" s="140" t="s">
        <v>92</v>
      </c>
      <c r="B4" s="141"/>
      <c r="C4" s="141"/>
      <c r="D4" s="142"/>
      <c r="I4" t="s">
        <v>2</v>
      </c>
      <c r="J4" s="83">
        <f>862335-812062</f>
        <v>50273</v>
      </c>
    </row>
    <row r="5" spans="1:37" ht="13.5" thickBot="1" x14ac:dyDescent="0.25">
      <c r="A5" s="143" t="s">
        <v>76</v>
      </c>
      <c r="B5" s="144"/>
      <c r="C5" s="144"/>
      <c r="D5" s="145"/>
      <c r="I5" t="s">
        <v>3</v>
      </c>
      <c r="J5" s="83">
        <f>SUM(D10:F10)</f>
        <v>14118</v>
      </c>
    </row>
    <row r="6" spans="1:37" ht="13.5" thickBot="1" x14ac:dyDescent="0.25">
      <c r="J6" s="160">
        <f>SUM(J2:J5)</f>
        <v>862335</v>
      </c>
      <c r="K6" s="153" t="s">
        <v>115</v>
      </c>
    </row>
    <row r="7" spans="1:37" s="78" customFormat="1" ht="12" customHeight="1" x14ac:dyDescent="0.2"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s="78" customFormat="1" x14ac:dyDescent="0.2"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">
      <c r="A9" s="110" t="s">
        <v>32</v>
      </c>
      <c r="B9" s="110" t="s">
        <v>33</v>
      </c>
      <c r="C9" s="110" t="s">
        <v>40</v>
      </c>
      <c r="D9" s="110" t="s">
        <v>34</v>
      </c>
      <c r="E9" s="110" t="s">
        <v>35</v>
      </c>
      <c r="F9" s="110" t="s">
        <v>103</v>
      </c>
      <c r="J9" s="104"/>
    </row>
    <row r="10" spans="1:37" x14ac:dyDescent="0.2">
      <c r="A10" s="113" t="s">
        <v>93</v>
      </c>
      <c r="B10" s="113" t="s">
        <v>38</v>
      </c>
      <c r="C10" s="113" t="s">
        <v>3</v>
      </c>
      <c r="D10" s="113">
        <v>719</v>
      </c>
      <c r="E10" s="113">
        <v>0</v>
      </c>
      <c r="F10" s="114">
        <v>13399</v>
      </c>
      <c r="I10" t="s">
        <v>42</v>
      </c>
      <c r="J10" s="98">
        <f>I42/J6</f>
        <v>0.43644175407469255</v>
      </c>
    </row>
    <row r="11" spans="1:37" x14ac:dyDescent="0.2">
      <c r="A11" s="113" t="s">
        <v>93</v>
      </c>
      <c r="B11" s="113" t="s">
        <v>38</v>
      </c>
      <c r="C11" s="113" t="s">
        <v>41</v>
      </c>
      <c r="D11" s="114">
        <v>93051</v>
      </c>
      <c r="E11" s="114">
        <v>37707</v>
      </c>
      <c r="F11" s="114">
        <v>491877</v>
      </c>
      <c r="I11" t="s">
        <v>78</v>
      </c>
      <c r="J11" s="98">
        <f>I26/J6</f>
        <v>0.17455861121257979</v>
      </c>
    </row>
    <row r="12" spans="1:37" x14ac:dyDescent="0.2">
      <c r="A12" s="113" t="s">
        <v>93</v>
      </c>
      <c r="B12" s="113" t="s">
        <v>39</v>
      </c>
      <c r="C12" s="113" t="s">
        <v>41</v>
      </c>
      <c r="D12" s="114">
        <v>17094</v>
      </c>
      <c r="E12" s="114">
        <v>6589</v>
      </c>
      <c r="F12" s="114">
        <v>151626</v>
      </c>
      <c r="I12" t="s">
        <v>81</v>
      </c>
      <c r="J12" s="98">
        <f>I32/J6</f>
        <v>0.23993691546788662</v>
      </c>
    </row>
    <row r="13" spans="1:37" s="78" customFormat="1" ht="13.5" thickBot="1" x14ac:dyDescent="0.25">
      <c r="J13" s="157">
        <v>0.9</v>
      </c>
      <c r="K13" s="77"/>
      <c r="L13" s="77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7" s="78" customFormat="1" ht="13.5" thickBot="1" x14ac:dyDescent="0.25"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7" x14ac:dyDescent="0.2">
      <c r="A15" s="121" t="s">
        <v>83</v>
      </c>
      <c r="B15" s="122"/>
      <c r="C15" s="122"/>
      <c r="D15" s="122"/>
      <c r="E15" s="129"/>
      <c r="F15" s="130"/>
    </row>
    <row r="16" spans="1:37" x14ac:dyDescent="0.2">
      <c r="A16" s="124" t="s">
        <v>92</v>
      </c>
      <c r="B16" s="59"/>
      <c r="C16" s="59"/>
      <c r="D16" s="59"/>
      <c r="E16" s="60"/>
      <c r="F16" s="132"/>
    </row>
    <row r="17" spans="1:36" ht="13.5" thickBot="1" x14ac:dyDescent="0.25">
      <c r="A17" s="126" t="s">
        <v>76</v>
      </c>
      <c r="B17" s="127"/>
      <c r="C17" s="127"/>
      <c r="D17" s="127"/>
      <c r="E17" s="134"/>
      <c r="F17" s="135"/>
    </row>
    <row r="18" spans="1:36" s="78" customFormat="1" x14ac:dyDescent="0.2"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x14ac:dyDescent="0.2">
      <c r="A19" s="161" t="s">
        <v>32</v>
      </c>
      <c r="B19" s="161" t="s">
        <v>42</v>
      </c>
      <c r="C19" s="161" t="s">
        <v>51</v>
      </c>
      <c r="D19" s="161" t="s">
        <v>57</v>
      </c>
      <c r="E19" s="161" t="s">
        <v>34</v>
      </c>
      <c r="F19" s="161" t="s">
        <v>35</v>
      </c>
      <c r="G19" s="161" t="s">
        <v>103</v>
      </c>
    </row>
    <row r="20" spans="1:36" x14ac:dyDescent="0.2">
      <c r="A20" t="s">
        <v>93</v>
      </c>
      <c r="B20" t="s">
        <v>21</v>
      </c>
      <c r="C20" t="s">
        <v>21</v>
      </c>
      <c r="D20" t="s">
        <v>21</v>
      </c>
      <c r="E20" s="53">
        <v>13351</v>
      </c>
      <c r="F20" s="53">
        <v>9400</v>
      </c>
      <c r="G20" s="53">
        <v>54778</v>
      </c>
      <c r="I20" s="146">
        <f>SUM(E20:H20)</f>
        <v>77529</v>
      </c>
    </row>
    <row r="21" spans="1:36" x14ac:dyDescent="0.2">
      <c r="A21" s="56" t="s">
        <v>93</v>
      </c>
      <c r="B21" s="56" t="s">
        <v>21</v>
      </c>
      <c r="C21" s="56" t="s">
        <v>95</v>
      </c>
      <c r="D21" s="56" t="s">
        <v>63</v>
      </c>
      <c r="E21" s="55">
        <v>12108</v>
      </c>
      <c r="F21" s="55">
        <v>4009</v>
      </c>
      <c r="G21" s="55">
        <v>38506</v>
      </c>
      <c r="I21" s="137"/>
    </row>
    <row r="22" spans="1:36" x14ac:dyDescent="0.2">
      <c r="A22" s="56" t="s">
        <v>93</v>
      </c>
      <c r="B22" s="56" t="s">
        <v>21</v>
      </c>
      <c r="C22" s="56" t="s">
        <v>95</v>
      </c>
      <c r="D22" s="56" t="s">
        <v>72</v>
      </c>
      <c r="E22" s="56">
        <v>0</v>
      </c>
      <c r="F22" s="56">
        <v>27</v>
      </c>
      <c r="G22" s="56">
        <v>64</v>
      </c>
      <c r="I22" s="4"/>
    </row>
    <row r="23" spans="1:36" x14ac:dyDescent="0.2">
      <c r="A23" s="56" t="s">
        <v>93</v>
      </c>
      <c r="B23" s="56" t="s">
        <v>21</v>
      </c>
      <c r="C23" s="56" t="s">
        <v>54</v>
      </c>
      <c r="D23" s="56" t="s">
        <v>72</v>
      </c>
      <c r="E23" s="55">
        <v>8813</v>
      </c>
      <c r="F23" s="55">
        <v>4455</v>
      </c>
      <c r="G23" s="55">
        <v>45630</v>
      </c>
      <c r="I23" s="137"/>
    </row>
    <row r="24" spans="1:36" x14ac:dyDescent="0.2">
      <c r="A24" s="56" t="s">
        <v>93</v>
      </c>
      <c r="B24" s="56" t="s">
        <v>21</v>
      </c>
      <c r="C24" s="56" t="s">
        <v>55</v>
      </c>
      <c r="D24" s="56" t="s">
        <v>68</v>
      </c>
      <c r="E24" s="55">
        <v>2731</v>
      </c>
      <c r="F24" s="56">
        <v>400</v>
      </c>
      <c r="G24" s="55">
        <v>19004</v>
      </c>
      <c r="I24" s="137"/>
    </row>
    <row r="25" spans="1:36" x14ac:dyDescent="0.2">
      <c r="A25" s="56" t="s">
        <v>93</v>
      </c>
      <c r="B25" s="56" t="s">
        <v>21</v>
      </c>
      <c r="C25" s="56" t="s">
        <v>55</v>
      </c>
      <c r="D25" s="56" t="s">
        <v>69</v>
      </c>
      <c r="E25" s="56">
        <v>0</v>
      </c>
      <c r="F25" s="56">
        <v>0</v>
      </c>
      <c r="G25" s="56">
        <v>310</v>
      </c>
      <c r="I25" s="137"/>
    </row>
    <row r="26" spans="1:36" x14ac:dyDescent="0.2">
      <c r="A26" s="56" t="s">
        <v>93</v>
      </c>
      <c r="B26" s="56" t="s">
        <v>21</v>
      </c>
      <c r="C26" s="56" t="s">
        <v>55</v>
      </c>
      <c r="D26" s="56" t="s">
        <v>72</v>
      </c>
      <c r="E26" s="55">
        <v>3537</v>
      </c>
      <c r="F26" s="56">
        <v>160</v>
      </c>
      <c r="G26" s="55">
        <v>10774</v>
      </c>
      <c r="I26" s="146">
        <v>150528</v>
      </c>
    </row>
    <row r="27" spans="1:36" x14ac:dyDescent="0.2">
      <c r="A27" s="112" t="s">
        <v>93</v>
      </c>
      <c r="B27" s="112" t="s">
        <v>21</v>
      </c>
      <c r="C27" s="112" t="s">
        <v>52</v>
      </c>
      <c r="D27" s="112" t="s">
        <v>58</v>
      </c>
      <c r="E27" s="112">
        <v>0</v>
      </c>
      <c r="F27" s="112">
        <v>187</v>
      </c>
      <c r="G27" s="139">
        <v>2355</v>
      </c>
      <c r="I27" s="137" t="s">
        <v>21</v>
      </c>
    </row>
    <row r="28" spans="1:36" x14ac:dyDescent="0.2">
      <c r="A28" s="112" t="s">
        <v>93</v>
      </c>
      <c r="B28" s="112" t="s">
        <v>21</v>
      </c>
      <c r="C28" s="112" t="s">
        <v>52</v>
      </c>
      <c r="D28" s="112" t="s">
        <v>60</v>
      </c>
      <c r="E28" s="139">
        <v>22429</v>
      </c>
      <c r="F28" s="112">
        <v>0</v>
      </c>
      <c r="G28" s="139">
        <v>62059</v>
      </c>
      <c r="I28" s="4"/>
    </row>
    <row r="29" spans="1:36" x14ac:dyDescent="0.2">
      <c r="A29" s="112" t="s">
        <v>93</v>
      </c>
      <c r="B29" s="112" t="s">
        <v>21</v>
      </c>
      <c r="C29" s="112" t="s">
        <v>52</v>
      </c>
      <c r="D29" s="112" t="s">
        <v>62</v>
      </c>
      <c r="E29" s="112">
        <v>130</v>
      </c>
      <c r="F29" s="112">
        <v>189</v>
      </c>
      <c r="G29" s="139">
        <v>54238</v>
      </c>
      <c r="I29" s="4"/>
    </row>
    <row r="30" spans="1:36" x14ac:dyDescent="0.2">
      <c r="A30" s="112" t="s">
        <v>93</v>
      </c>
      <c r="B30" s="112" t="s">
        <v>21</v>
      </c>
      <c r="C30" s="112" t="s">
        <v>52</v>
      </c>
      <c r="D30" s="112" t="s">
        <v>70</v>
      </c>
      <c r="E30" s="112">
        <v>427</v>
      </c>
      <c r="F30" s="112">
        <v>208</v>
      </c>
      <c r="G30" s="139">
        <v>1581</v>
      </c>
      <c r="I30" s="4"/>
    </row>
    <row r="31" spans="1:36" x14ac:dyDescent="0.2">
      <c r="A31" s="112" t="s">
        <v>93</v>
      </c>
      <c r="B31" s="112" t="s">
        <v>21</v>
      </c>
      <c r="C31" s="112" t="s">
        <v>52</v>
      </c>
      <c r="D31" s="112" t="s">
        <v>71</v>
      </c>
      <c r="E31" s="112">
        <v>764</v>
      </c>
      <c r="F31" s="112">
        <v>588</v>
      </c>
      <c r="G31" s="139">
        <v>48794</v>
      </c>
      <c r="I31" s="4"/>
    </row>
    <row r="32" spans="1:36" x14ac:dyDescent="0.2">
      <c r="A32" s="112" t="s">
        <v>93</v>
      </c>
      <c r="B32" s="112" t="s">
        <v>21</v>
      </c>
      <c r="C32" s="112" t="s">
        <v>52</v>
      </c>
      <c r="D32" s="112" t="s">
        <v>72</v>
      </c>
      <c r="E32" s="112">
        <v>850</v>
      </c>
      <c r="F32" s="112">
        <v>185</v>
      </c>
      <c r="G32" s="139">
        <v>11922</v>
      </c>
      <c r="I32" s="146">
        <v>206906</v>
      </c>
    </row>
    <row r="33" spans="1:9" x14ac:dyDescent="0.2">
      <c r="A33" s="81" t="s">
        <v>93</v>
      </c>
      <c r="B33" s="81" t="s">
        <v>43</v>
      </c>
      <c r="C33" s="81" t="s">
        <v>21</v>
      </c>
      <c r="D33" s="81" t="s">
        <v>21</v>
      </c>
      <c r="E33" s="82">
        <v>10697</v>
      </c>
      <c r="F33" s="82">
        <v>8679</v>
      </c>
      <c r="G33" s="82">
        <v>63336</v>
      </c>
      <c r="I33" s="146"/>
    </row>
    <row r="34" spans="1:9" x14ac:dyDescent="0.2">
      <c r="A34" s="81" t="s">
        <v>93</v>
      </c>
      <c r="B34" s="81" t="s">
        <v>44</v>
      </c>
      <c r="C34" s="81" t="s">
        <v>21</v>
      </c>
      <c r="D34" s="81" t="s">
        <v>21</v>
      </c>
      <c r="E34" s="81">
        <v>659</v>
      </c>
      <c r="F34" s="81">
        <v>0</v>
      </c>
      <c r="G34" s="82">
        <v>1879</v>
      </c>
      <c r="I34" s="146"/>
    </row>
    <row r="35" spans="1:9" x14ac:dyDescent="0.2">
      <c r="A35" s="81" t="s">
        <v>93</v>
      </c>
      <c r="B35" s="81" t="s">
        <v>45</v>
      </c>
      <c r="C35" s="81" t="s">
        <v>21</v>
      </c>
      <c r="D35" s="81" t="s">
        <v>21</v>
      </c>
      <c r="E35" s="82">
        <v>8690</v>
      </c>
      <c r="F35" s="82">
        <v>6556</v>
      </c>
      <c r="G35" s="82">
        <v>125487</v>
      </c>
      <c r="I35" s="146"/>
    </row>
    <row r="36" spans="1:9" x14ac:dyDescent="0.2">
      <c r="A36" s="81" t="s">
        <v>93</v>
      </c>
      <c r="B36" s="81" t="s">
        <v>46</v>
      </c>
      <c r="C36" s="81" t="s">
        <v>21</v>
      </c>
      <c r="D36" s="81" t="s">
        <v>21</v>
      </c>
      <c r="E36" s="82">
        <v>10561</v>
      </c>
      <c r="F36" s="82">
        <v>3408</v>
      </c>
      <c r="G36" s="82">
        <v>38395</v>
      </c>
      <c r="I36" s="146"/>
    </row>
    <row r="37" spans="1:9" x14ac:dyDescent="0.2">
      <c r="A37" s="81" t="s">
        <v>93</v>
      </c>
      <c r="B37" s="81" t="s">
        <v>105</v>
      </c>
      <c r="C37" s="81" t="s">
        <v>21</v>
      </c>
      <c r="D37" s="81" t="s">
        <v>21</v>
      </c>
      <c r="E37" s="81">
        <v>0</v>
      </c>
      <c r="F37" s="81">
        <v>840</v>
      </c>
      <c r="G37" s="82">
        <v>2382</v>
      </c>
      <c r="I37" s="146"/>
    </row>
    <row r="38" spans="1:9" x14ac:dyDescent="0.2">
      <c r="A38" s="81" t="s">
        <v>93</v>
      </c>
      <c r="B38" s="81" t="s">
        <v>47</v>
      </c>
      <c r="C38" s="81" t="s">
        <v>21</v>
      </c>
      <c r="D38" s="81" t="s">
        <v>21</v>
      </c>
      <c r="E38" s="82">
        <v>1189</v>
      </c>
      <c r="F38" s="81">
        <v>427</v>
      </c>
      <c r="G38" s="82">
        <v>10865</v>
      </c>
      <c r="I38" s="146"/>
    </row>
    <row r="39" spans="1:9" x14ac:dyDescent="0.2">
      <c r="A39" s="81" t="s">
        <v>93</v>
      </c>
      <c r="B39" s="81" t="s">
        <v>48</v>
      </c>
      <c r="C39" s="81" t="s">
        <v>21</v>
      </c>
      <c r="D39" s="81" t="s">
        <v>21</v>
      </c>
      <c r="E39" s="82">
        <v>2868</v>
      </c>
      <c r="F39" s="82">
        <v>1590</v>
      </c>
      <c r="G39" s="82">
        <v>37186</v>
      </c>
      <c r="I39" s="146"/>
    </row>
    <row r="40" spans="1:9" x14ac:dyDescent="0.2">
      <c r="A40" s="81" t="s">
        <v>93</v>
      </c>
      <c r="B40" s="81" t="s">
        <v>50</v>
      </c>
      <c r="C40" s="81" t="s">
        <v>21</v>
      </c>
      <c r="D40" s="81" t="s">
        <v>21</v>
      </c>
      <c r="E40" s="82">
        <v>8862</v>
      </c>
      <c r="F40" s="82">
        <v>2948</v>
      </c>
      <c r="G40" s="82">
        <v>24797</v>
      </c>
      <c r="I40" s="146"/>
    </row>
    <row r="41" spans="1:9" x14ac:dyDescent="0.2">
      <c r="A41" s="81" t="s">
        <v>93</v>
      </c>
      <c r="B41" s="81" t="s">
        <v>106</v>
      </c>
      <c r="C41" s="81" t="s">
        <v>21</v>
      </c>
      <c r="D41" s="81" t="s">
        <v>21</v>
      </c>
      <c r="E41" s="81">
        <v>484</v>
      </c>
      <c r="F41" s="81">
        <v>0</v>
      </c>
      <c r="G41" s="82">
        <v>1861</v>
      </c>
      <c r="I41" s="146"/>
    </row>
    <row r="42" spans="1:9" x14ac:dyDescent="0.2">
      <c r="A42" s="81" t="s">
        <v>93</v>
      </c>
      <c r="B42" s="81" t="s">
        <v>107</v>
      </c>
      <c r="C42" s="81" t="s">
        <v>21</v>
      </c>
      <c r="D42" s="81" t="s">
        <v>21</v>
      </c>
      <c r="E42" s="82">
        <v>1713</v>
      </c>
      <c r="F42" s="81">
        <v>0</v>
      </c>
      <c r="G42" s="81">
        <v>0</v>
      </c>
      <c r="I42" s="146">
        <v>376359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T41"/>
  <sheetViews>
    <sheetView workbookViewId="0"/>
  </sheetViews>
  <sheetFormatPr defaultRowHeight="12.75" x14ac:dyDescent="0.2"/>
  <cols>
    <col min="2" max="2" width="33.140625" customWidth="1"/>
    <col min="3" max="3" width="20.28515625" customWidth="1"/>
    <col min="4" max="4" width="33.42578125" customWidth="1"/>
    <col min="9" max="9" width="22.28515625" customWidth="1"/>
    <col min="10" max="10" width="15" customWidth="1"/>
  </cols>
  <sheetData>
    <row r="1" spans="1:12" x14ac:dyDescent="0.2">
      <c r="A1" s="121" t="s">
        <v>77</v>
      </c>
      <c r="B1" s="129"/>
      <c r="C1" s="129"/>
      <c r="D1" s="130"/>
      <c r="I1" t="s">
        <v>79</v>
      </c>
      <c r="J1" t="s">
        <v>80</v>
      </c>
    </row>
    <row r="2" spans="1:12" x14ac:dyDescent="0.2">
      <c r="A2" s="140" t="s">
        <v>73</v>
      </c>
      <c r="B2" s="141"/>
      <c r="C2" s="141"/>
      <c r="D2" s="142"/>
      <c r="I2" t="s">
        <v>38</v>
      </c>
      <c r="J2" s="102">
        <v>589630</v>
      </c>
    </row>
    <row r="3" spans="1:12" x14ac:dyDescent="0.2">
      <c r="A3" s="140" t="s">
        <v>74</v>
      </c>
      <c r="B3" s="141"/>
      <c r="C3" s="141"/>
      <c r="D3" s="142"/>
      <c r="I3" t="s">
        <v>39</v>
      </c>
      <c r="J3" s="102">
        <v>172147</v>
      </c>
    </row>
    <row r="4" spans="1:12" x14ac:dyDescent="0.2">
      <c r="A4" s="140" t="s">
        <v>92</v>
      </c>
      <c r="B4" s="141"/>
      <c r="C4" s="141"/>
      <c r="D4" s="142"/>
      <c r="I4" t="s">
        <v>2</v>
      </c>
      <c r="J4" s="101">
        <v>52788</v>
      </c>
    </row>
    <row r="5" spans="1:12" ht="13.5" thickBot="1" x14ac:dyDescent="0.25">
      <c r="A5" s="143" t="s">
        <v>76</v>
      </c>
      <c r="B5" s="144"/>
      <c r="C5" s="144"/>
      <c r="D5" s="145"/>
      <c r="I5" t="s">
        <v>3</v>
      </c>
      <c r="J5" s="138">
        <v>15958</v>
      </c>
    </row>
    <row r="6" spans="1:12" s="78" customFormat="1" ht="13.5" thickBot="1" x14ac:dyDescent="0.25">
      <c r="J6" s="155">
        <f>SUM(J2:J5)</f>
        <v>830523</v>
      </c>
      <c r="K6" s="156" t="s">
        <v>113</v>
      </c>
    </row>
    <row r="7" spans="1:12" s="78" customFormat="1" ht="13.5" thickTop="1" x14ac:dyDescent="0.2"/>
    <row r="8" spans="1:12" x14ac:dyDescent="0.2">
      <c r="A8" s="110" t="s">
        <v>32</v>
      </c>
      <c r="B8" s="110" t="s">
        <v>33</v>
      </c>
      <c r="C8" s="110" t="s">
        <v>40</v>
      </c>
      <c r="D8" s="110" t="s">
        <v>34</v>
      </c>
      <c r="E8" s="110" t="s">
        <v>35</v>
      </c>
      <c r="F8" s="110" t="s">
        <v>103</v>
      </c>
      <c r="J8" s="104"/>
    </row>
    <row r="9" spans="1:12" x14ac:dyDescent="0.2">
      <c r="A9" s="113" t="s">
        <v>93</v>
      </c>
      <c r="B9" s="113" t="s">
        <v>38</v>
      </c>
      <c r="C9" s="113" t="s">
        <v>3</v>
      </c>
      <c r="D9" s="113">
        <v>0</v>
      </c>
      <c r="E9" s="113">
        <v>0</v>
      </c>
      <c r="F9" s="114">
        <v>15958</v>
      </c>
      <c r="I9" t="s">
        <v>42</v>
      </c>
      <c r="J9" s="98">
        <v>0.47</v>
      </c>
    </row>
    <row r="10" spans="1:12" x14ac:dyDescent="0.2">
      <c r="A10" s="113" t="s">
        <v>93</v>
      </c>
      <c r="B10" s="113" t="s">
        <v>38</v>
      </c>
      <c r="C10" s="113" t="s">
        <v>41</v>
      </c>
      <c r="D10" s="114">
        <v>45865</v>
      </c>
      <c r="E10" s="114">
        <v>63393</v>
      </c>
      <c r="F10" s="114">
        <v>480372</v>
      </c>
      <c r="I10" t="s">
        <v>78</v>
      </c>
      <c r="J10" s="98">
        <v>0.18</v>
      </c>
    </row>
    <row r="11" spans="1:12" x14ac:dyDescent="0.2">
      <c r="A11" s="113" t="s">
        <v>93</v>
      </c>
      <c r="B11" s="113" t="s">
        <v>39</v>
      </c>
      <c r="C11" s="113" t="s">
        <v>41</v>
      </c>
      <c r="D11" s="114">
        <v>7604</v>
      </c>
      <c r="E11" s="114">
        <v>25031</v>
      </c>
      <c r="F11" s="114">
        <v>139512</v>
      </c>
      <c r="I11" t="s">
        <v>81</v>
      </c>
      <c r="J11" s="98">
        <v>0.26</v>
      </c>
    </row>
    <row r="12" spans="1:12" s="78" customFormat="1" ht="13.5" thickBot="1" x14ac:dyDescent="0.25">
      <c r="J12" s="157">
        <v>0.91</v>
      </c>
      <c r="K12" s="77" t="s">
        <v>114</v>
      </c>
      <c r="L12" s="77"/>
    </row>
    <row r="13" spans="1:12" s="78" customFormat="1" ht="13.5" thickBot="1" x14ac:dyDescent="0.25"/>
    <row r="14" spans="1:12" x14ac:dyDescent="0.2">
      <c r="A14" s="121" t="s">
        <v>83</v>
      </c>
      <c r="B14" s="122"/>
      <c r="C14" s="122"/>
      <c r="D14" s="123"/>
    </row>
    <row r="15" spans="1:12" x14ac:dyDescent="0.2">
      <c r="A15" s="124" t="s">
        <v>92</v>
      </c>
      <c r="B15" s="59"/>
      <c r="C15" s="59"/>
      <c r="D15" s="125"/>
    </row>
    <row r="16" spans="1:12" ht="13.5" thickBot="1" x14ac:dyDescent="0.25">
      <c r="A16" s="126" t="s">
        <v>76</v>
      </c>
      <c r="B16" s="127"/>
      <c r="C16" s="127"/>
      <c r="D16" s="128"/>
    </row>
    <row r="17" spans="1:20" s="78" customFormat="1" x14ac:dyDescent="0.2"/>
    <row r="18" spans="1:20" x14ac:dyDescent="0.2">
      <c r="A18" s="4" t="s">
        <v>32</v>
      </c>
      <c r="B18" s="4" t="s">
        <v>42</v>
      </c>
      <c r="C18" s="4" t="s">
        <v>51</v>
      </c>
      <c r="D18" s="4" t="s">
        <v>57</v>
      </c>
      <c r="E18" s="4" t="s">
        <v>34</v>
      </c>
      <c r="F18" s="4" t="s">
        <v>35</v>
      </c>
      <c r="G18" s="4" t="s">
        <v>103</v>
      </c>
      <c r="H18" s="4"/>
    </row>
    <row r="19" spans="1:20" x14ac:dyDescent="0.2">
      <c r="A19" t="s">
        <v>93</v>
      </c>
      <c r="B19" t="s">
        <v>21</v>
      </c>
      <c r="C19" t="s">
        <v>21</v>
      </c>
      <c r="D19" t="s">
        <v>21</v>
      </c>
      <c r="E19" s="53">
        <v>11161</v>
      </c>
      <c r="F19" s="53">
        <v>15791</v>
      </c>
      <c r="G19" s="53">
        <v>44776</v>
      </c>
      <c r="H19" s="137">
        <v>44776</v>
      </c>
    </row>
    <row r="20" spans="1:20" s="56" customFormat="1" x14ac:dyDescent="0.2">
      <c r="A20" s="56" t="s">
        <v>93</v>
      </c>
      <c r="B20" s="56" t="s">
        <v>21</v>
      </c>
      <c r="C20" s="56" t="s">
        <v>95</v>
      </c>
      <c r="D20" s="56" t="s">
        <v>63</v>
      </c>
      <c r="E20" s="55">
        <v>1732</v>
      </c>
      <c r="F20" s="55">
        <v>3142</v>
      </c>
      <c r="G20" s="55">
        <v>31590</v>
      </c>
      <c r="H20" s="151"/>
      <c r="K20"/>
      <c r="L20"/>
      <c r="M20"/>
      <c r="N20"/>
      <c r="O20"/>
      <c r="P20"/>
      <c r="Q20"/>
      <c r="R20"/>
      <c r="S20"/>
      <c r="T20"/>
    </row>
    <row r="21" spans="1:20" s="56" customFormat="1" x14ac:dyDescent="0.2">
      <c r="A21" s="56" t="s">
        <v>93</v>
      </c>
      <c r="B21" s="56" t="s">
        <v>21</v>
      </c>
      <c r="C21" s="56" t="s">
        <v>95</v>
      </c>
      <c r="D21" s="56" t="s">
        <v>72</v>
      </c>
      <c r="E21" s="56">
        <v>0</v>
      </c>
      <c r="F21" s="56">
        <v>37</v>
      </c>
      <c r="G21" s="56">
        <v>34</v>
      </c>
      <c r="H21" s="151"/>
      <c r="K21"/>
      <c r="L21"/>
      <c r="M21"/>
      <c r="N21"/>
      <c r="O21"/>
      <c r="P21"/>
      <c r="Q21"/>
      <c r="R21"/>
      <c r="S21"/>
      <c r="T21"/>
    </row>
    <row r="22" spans="1:20" s="56" customFormat="1" x14ac:dyDescent="0.2">
      <c r="A22" s="56" t="s">
        <v>93</v>
      </c>
      <c r="B22" s="56" t="s">
        <v>21</v>
      </c>
      <c r="C22" s="56" t="s">
        <v>54</v>
      </c>
      <c r="D22" s="56" t="s">
        <v>72</v>
      </c>
      <c r="E22" s="55">
        <v>8223</v>
      </c>
      <c r="F22" s="55">
        <v>13598</v>
      </c>
      <c r="G22" s="55">
        <v>56605</v>
      </c>
      <c r="H22" s="151"/>
      <c r="K22"/>
      <c r="L22"/>
      <c r="M22"/>
      <c r="N22"/>
      <c r="O22"/>
      <c r="P22"/>
      <c r="Q22"/>
      <c r="R22"/>
      <c r="S22"/>
      <c r="T22"/>
    </row>
    <row r="23" spans="1:20" s="56" customFormat="1" x14ac:dyDescent="0.2">
      <c r="A23" s="56" t="s">
        <v>93</v>
      </c>
      <c r="B23" s="56" t="s">
        <v>21</v>
      </c>
      <c r="C23" s="56" t="s">
        <v>55</v>
      </c>
      <c r="D23" s="56" t="s">
        <v>68</v>
      </c>
      <c r="E23" s="56">
        <v>106</v>
      </c>
      <c r="F23" s="55">
        <v>1645</v>
      </c>
      <c r="G23" s="55">
        <v>12793</v>
      </c>
      <c r="H23" s="151"/>
      <c r="K23"/>
      <c r="L23"/>
      <c r="M23"/>
      <c r="N23"/>
      <c r="O23"/>
      <c r="P23"/>
      <c r="Q23"/>
      <c r="R23"/>
      <c r="S23"/>
      <c r="T23"/>
    </row>
    <row r="24" spans="1:20" s="56" customFormat="1" x14ac:dyDescent="0.2">
      <c r="A24" s="56" t="s">
        <v>93</v>
      </c>
      <c r="B24" s="56" t="s">
        <v>21</v>
      </c>
      <c r="C24" s="56" t="s">
        <v>55</v>
      </c>
      <c r="D24" s="56" t="s">
        <v>72</v>
      </c>
      <c r="E24" s="55">
        <v>2724</v>
      </c>
      <c r="F24" s="55">
        <v>1389</v>
      </c>
      <c r="G24" s="55">
        <v>4696</v>
      </c>
      <c r="H24" s="158">
        <v>138314</v>
      </c>
      <c r="K24"/>
      <c r="L24"/>
      <c r="M24"/>
      <c r="N24"/>
      <c r="O24"/>
      <c r="P24"/>
      <c r="Q24"/>
      <c r="R24"/>
      <c r="S24"/>
      <c r="T24"/>
    </row>
    <row r="25" spans="1:20" s="112" customFormat="1" x14ac:dyDescent="0.2">
      <c r="A25" s="112" t="s">
        <v>93</v>
      </c>
      <c r="B25" s="112" t="s">
        <v>21</v>
      </c>
      <c r="C25" s="112" t="s">
        <v>52</v>
      </c>
      <c r="D25" s="112" t="s">
        <v>58</v>
      </c>
      <c r="E25" s="112">
        <v>187</v>
      </c>
      <c r="F25" s="112">
        <v>0</v>
      </c>
      <c r="G25" s="139">
        <v>2355</v>
      </c>
      <c r="H25" s="147"/>
      <c r="K25"/>
      <c r="L25"/>
      <c r="M25"/>
      <c r="N25"/>
      <c r="O25"/>
      <c r="P25"/>
      <c r="Q25"/>
      <c r="R25"/>
      <c r="S25"/>
      <c r="T25"/>
    </row>
    <row r="26" spans="1:20" s="112" customFormat="1" x14ac:dyDescent="0.2">
      <c r="A26" s="112" t="s">
        <v>93</v>
      </c>
      <c r="B26" s="112" t="s">
        <v>21</v>
      </c>
      <c r="C26" s="112" t="s">
        <v>52</v>
      </c>
      <c r="D26" s="112" t="s">
        <v>60</v>
      </c>
      <c r="E26" s="112">
        <v>0</v>
      </c>
      <c r="F26" s="112">
        <v>771</v>
      </c>
      <c r="G26" s="139">
        <v>48790</v>
      </c>
      <c r="H26" s="147"/>
      <c r="K26"/>
      <c r="L26"/>
      <c r="M26"/>
      <c r="N26"/>
      <c r="O26"/>
      <c r="P26"/>
      <c r="Q26"/>
      <c r="R26"/>
      <c r="S26"/>
      <c r="T26"/>
    </row>
    <row r="27" spans="1:20" s="112" customFormat="1" x14ac:dyDescent="0.2">
      <c r="A27" s="112" t="s">
        <v>93</v>
      </c>
      <c r="B27" s="112" t="s">
        <v>21</v>
      </c>
      <c r="C27" s="112" t="s">
        <v>52</v>
      </c>
      <c r="D27" s="112" t="s">
        <v>62</v>
      </c>
      <c r="E27" s="112">
        <v>189</v>
      </c>
      <c r="F27" s="139">
        <v>4683</v>
      </c>
      <c r="G27" s="139">
        <v>50493</v>
      </c>
      <c r="H27" s="147"/>
      <c r="K27"/>
      <c r="L27"/>
      <c r="M27"/>
      <c r="N27"/>
      <c r="O27"/>
      <c r="P27"/>
      <c r="Q27"/>
      <c r="R27"/>
      <c r="S27"/>
      <c r="T27"/>
    </row>
    <row r="28" spans="1:20" s="112" customFormat="1" x14ac:dyDescent="0.2">
      <c r="A28" s="112" t="s">
        <v>93</v>
      </c>
      <c r="B28" s="112" t="s">
        <v>21</v>
      </c>
      <c r="C28" s="112" t="s">
        <v>52</v>
      </c>
      <c r="D28" s="112" t="s">
        <v>71</v>
      </c>
      <c r="E28" s="112">
        <v>588</v>
      </c>
      <c r="F28" s="139">
        <v>2603</v>
      </c>
      <c r="G28" s="139">
        <v>49065</v>
      </c>
      <c r="H28" s="147"/>
      <c r="K28"/>
      <c r="L28"/>
      <c r="M28"/>
      <c r="N28"/>
      <c r="O28"/>
      <c r="P28"/>
      <c r="Q28"/>
      <c r="R28"/>
      <c r="S28"/>
      <c r="T28"/>
    </row>
    <row r="29" spans="1:20" s="112" customFormat="1" x14ac:dyDescent="0.2">
      <c r="A29" s="112" t="s">
        <v>93</v>
      </c>
      <c r="B29" s="112" t="s">
        <v>21</v>
      </c>
      <c r="C29" s="112" t="s">
        <v>52</v>
      </c>
      <c r="D29" s="112" t="s">
        <v>72</v>
      </c>
      <c r="E29" s="112">
        <v>345</v>
      </c>
      <c r="F29" s="139">
        <v>1962</v>
      </c>
      <c r="G29" s="139">
        <v>36958</v>
      </c>
      <c r="H29" s="159">
        <v>198989</v>
      </c>
      <c r="K29"/>
      <c r="L29"/>
      <c r="M29"/>
      <c r="N29"/>
      <c r="O29"/>
      <c r="P29"/>
      <c r="Q29"/>
      <c r="R29"/>
      <c r="S29"/>
      <c r="T29"/>
    </row>
    <row r="30" spans="1:20" x14ac:dyDescent="0.2">
      <c r="A30" s="69" t="s">
        <v>93</v>
      </c>
      <c r="B30" s="69" t="s">
        <v>43</v>
      </c>
      <c r="C30" s="69" t="s">
        <v>21</v>
      </c>
      <c r="D30" s="69" t="s">
        <v>21</v>
      </c>
      <c r="E30" s="68">
        <v>10167</v>
      </c>
      <c r="F30" s="68">
        <v>13392</v>
      </c>
      <c r="G30" s="68">
        <v>61408</v>
      </c>
      <c r="H30" s="152"/>
      <c r="I30" s="69"/>
      <c r="J30" s="69"/>
    </row>
    <row r="31" spans="1:20" x14ac:dyDescent="0.2">
      <c r="A31" s="69" t="s">
        <v>93</v>
      </c>
      <c r="B31" s="69" t="s">
        <v>43</v>
      </c>
      <c r="C31" s="69" t="s">
        <v>95</v>
      </c>
      <c r="D31" s="69" t="s">
        <v>63</v>
      </c>
      <c r="E31" s="69">
        <v>0</v>
      </c>
      <c r="F31" s="69">
        <v>0</v>
      </c>
      <c r="G31" s="69">
        <v>214</v>
      </c>
      <c r="H31" s="152"/>
      <c r="I31" s="69"/>
      <c r="J31" s="69"/>
    </row>
    <row r="32" spans="1:20" x14ac:dyDescent="0.2">
      <c r="A32" s="69" t="s">
        <v>93</v>
      </c>
      <c r="B32" s="69" t="s">
        <v>44</v>
      </c>
      <c r="C32" s="69" t="s">
        <v>21</v>
      </c>
      <c r="D32" s="69" t="s">
        <v>21</v>
      </c>
      <c r="E32" s="69">
        <v>0</v>
      </c>
      <c r="F32" s="69">
        <v>169</v>
      </c>
      <c r="G32" s="68">
        <v>1370</v>
      </c>
      <c r="H32" s="152"/>
      <c r="I32" s="69"/>
      <c r="J32" s="69"/>
    </row>
    <row r="33" spans="1:10" x14ac:dyDescent="0.2">
      <c r="A33" s="69" t="s">
        <v>93</v>
      </c>
      <c r="B33" s="69" t="s">
        <v>45</v>
      </c>
      <c r="C33" s="69" t="s">
        <v>21</v>
      </c>
      <c r="D33" s="69" t="s">
        <v>21</v>
      </c>
      <c r="E33" s="68">
        <v>6472</v>
      </c>
      <c r="F33" s="68">
        <v>12830</v>
      </c>
      <c r="G33" s="68">
        <v>120209</v>
      </c>
      <c r="H33" s="152"/>
      <c r="I33" s="69"/>
      <c r="J33" s="69"/>
    </row>
    <row r="34" spans="1:10" x14ac:dyDescent="0.2">
      <c r="A34" s="69" t="s">
        <v>93</v>
      </c>
      <c r="B34" s="69" t="s">
        <v>46</v>
      </c>
      <c r="C34" s="69" t="s">
        <v>21</v>
      </c>
      <c r="D34" s="69" t="s">
        <v>21</v>
      </c>
      <c r="E34" s="68">
        <v>3295</v>
      </c>
      <c r="F34" s="68">
        <v>3697</v>
      </c>
      <c r="G34" s="68">
        <v>38999</v>
      </c>
      <c r="H34" s="152"/>
      <c r="I34" s="69"/>
      <c r="J34" s="69"/>
    </row>
    <row r="35" spans="1:10" x14ac:dyDescent="0.2">
      <c r="A35" s="69" t="s">
        <v>93</v>
      </c>
      <c r="B35" s="69" t="s">
        <v>105</v>
      </c>
      <c r="C35" s="69" t="s">
        <v>21</v>
      </c>
      <c r="D35" s="69" t="s">
        <v>21</v>
      </c>
      <c r="E35" s="69">
        <v>740</v>
      </c>
      <c r="F35" s="69">
        <v>0</v>
      </c>
      <c r="G35" s="68">
        <v>2189</v>
      </c>
      <c r="H35" s="152"/>
      <c r="I35" s="69"/>
      <c r="J35" s="69"/>
    </row>
    <row r="36" spans="1:10" x14ac:dyDescent="0.2">
      <c r="A36" s="69" t="s">
        <v>93</v>
      </c>
      <c r="B36" s="69" t="s">
        <v>47</v>
      </c>
      <c r="C36" s="69" t="s">
        <v>21</v>
      </c>
      <c r="D36" s="69" t="s">
        <v>21</v>
      </c>
      <c r="E36" s="69">
        <v>381</v>
      </c>
      <c r="F36" s="69">
        <v>279</v>
      </c>
      <c r="G36" s="68">
        <v>6999</v>
      </c>
      <c r="H36" s="69"/>
      <c r="I36" s="69"/>
      <c r="J36" s="69"/>
    </row>
    <row r="37" spans="1:10" x14ac:dyDescent="0.2">
      <c r="A37" s="69" t="s">
        <v>93</v>
      </c>
      <c r="B37" s="69" t="s">
        <v>47</v>
      </c>
      <c r="C37" s="69" t="s">
        <v>52</v>
      </c>
      <c r="D37" s="69" t="s">
        <v>70</v>
      </c>
      <c r="E37" s="69">
        <v>156</v>
      </c>
      <c r="F37" s="69">
        <v>535</v>
      </c>
      <c r="G37" s="68">
        <v>4643</v>
      </c>
      <c r="H37" s="69"/>
      <c r="I37" s="69"/>
      <c r="J37" s="69"/>
    </row>
    <row r="38" spans="1:10" x14ac:dyDescent="0.2">
      <c r="A38" s="69" t="s">
        <v>93</v>
      </c>
      <c r="B38" s="69" t="s">
        <v>48</v>
      </c>
      <c r="C38" s="69" t="s">
        <v>21</v>
      </c>
      <c r="D38" s="69" t="s">
        <v>21</v>
      </c>
      <c r="E38" s="68">
        <v>2748</v>
      </c>
      <c r="F38" s="68">
        <v>2197</v>
      </c>
      <c r="G38" s="68">
        <v>42313</v>
      </c>
      <c r="H38" s="69"/>
      <c r="I38" s="69"/>
      <c r="J38" s="69"/>
    </row>
    <row r="39" spans="1:10" x14ac:dyDescent="0.2">
      <c r="A39" s="69" t="s">
        <v>93</v>
      </c>
      <c r="B39" s="69" t="s">
        <v>50</v>
      </c>
      <c r="C39" s="69" t="s">
        <v>21</v>
      </c>
      <c r="D39" s="69" t="s">
        <v>21</v>
      </c>
      <c r="E39" s="68">
        <v>1868</v>
      </c>
      <c r="F39" s="68">
        <v>8148</v>
      </c>
      <c r="G39" s="68">
        <v>18110</v>
      </c>
      <c r="H39" s="69"/>
      <c r="I39" s="69"/>
      <c r="J39" s="69"/>
    </row>
    <row r="40" spans="1:10" x14ac:dyDescent="0.2">
      <c r="A40" s="69" t="s">
        <v>93</v>
      </c>
      <c r="B40" s="69" t="s">
        <v>106</v>
      </c>
      <c r="C40" s="69" t="s">
        <v>21</v>
      </c>
      <c r="D40" s="69" t="s">
        <v>21</v>
      </c>
      <c r="E40" s="69">
        <v>39</v>
      </c>
      <c r="F40" s="69">
        <v>758</v>
      </c>
      <c r="G40" s="68">
        <v>1233</v>
      </c>
      <c r="H40" s="69"/>
      <c r="I40" s="69"/>
      <c r="J40" s="69"/>
    </row>
    <row r="41" spans="1:10" x14ac:dyDescent="0.2">
      <c r="A41" s="69" t="s">
        <v>93</v>
      </c>
      <c r="B41" s="69" t="s">
        <v>107</v>
      </c>
      <c r="C41" s="69" t="s">
        <v>21</v>
      </c>
      <c r="D41" s="69" t="s">
        <v>21</v>
      </c>
      <c r="E41" s="68">
        <v>2348</v>
      </c>
      <c r="F41" s="69">
        <v>797</v>
      </c>
      <c r="G41" s="69">
        <v>0</v>
      </c>
      <c r="H41" s="154">
        <v>368703</v>
      </c>
      <c r="I41" s="152"/>
      <c r="J41" s="69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V47"/>
  <sheetViews>
    <sheetView workbookViewId="0"/>
  </sheetViews>
  <sheetFormatPr defaultRowHeight="12.75" x14ac:dyDescent="0.2"/>
  <cols>
    <col min="2" max="2" width="20.7109375" customWidth="1"/>
    <col min="3" max="3" width="16.140625" customWidth="1"/>
    <col min="4" max="4" width="13.28515625" customWidth="1"/>
    <col min="5" max="5" width="12.28515625" customWidth="1"/>
    <col min="6" max="6" width="14.85546875" customWidth="1"/>
    <col min="8" max="8" width="3.42578125" customWidth="1"/>
    <col min="9" max="9" width="21.5703125" customWidth="1"/>
    <col min="10" max="10" width="12" customWidth="1"/>
    <col min="11" max="11" width="18.140625" customWidth="1"/>
  </cols>
  <sheetData>
    <row r="1" spans="1:11" ht="13.5" thickBot="1" x14ac:dyDescent="0.25"/>
    <row r="2" spans="1:11" x14ac:dyDescent="0.2">
      <c r="A2" s="121" t="s">
        <v>77</v>
      </c>
      <c r="B2" s="129"/>
      <c r="C2" s="129"/>
      <c r="D2" s="130"/>
      <c r="I2" t="s">
        <v>79</v>
      </c>
      <c r="J2" t="s">
        <v>80</v>
      </c>
    </row>
    <row r="3" spans="1:11" x14ac:dyDescent="0.2">
      <c r="A3" s="140" t="s">
        <v>73</v>
      </c>
      <c r="B3" s="141"/>
      <c r="C3" s="141"/>
      <c r="D3" s="142"/>
      <c r="I3" t="s">
        <v>38</v>
      </c>
      <c r="J3" s="102">
        <v>616131</v>
      </c>
    </row>
    <row r="4" spans="1:11" x14ac:dyDescent="0.2">
      <c r="A4" s="140" t="s">
        <v>74</v>
      </c>
      <c r="B4" s="141"/>
      <c r="C4" s="141"/>
      <c r="D4" s="142"/>
      <c r="I4" t="s">
        <v>39</v>
      </c>
      <c r="J4" s="102">
        <v>181298</v>
      </c>
    </row>
    <row r="5" spans="1:11" x14ac:dyDescent="0.2">
      <c r="A5" s="140" t="s">
        <v>92</v>
      </c>
      <c r="B5" s="141"/>
      <c r="C5" s="141"/>
      <c r="D5" s="142"/>
      <c r="I5" t="s">
        <v>2</v>
      </c>
      <c r="J5" s="101">
        <v>41740</v>
      </c>
    </row>
    <row r="6" spans="1:11" ht="13.5" thickBot="1" x14ac:dyDescent="0.25">
      <c r="A6" s="143" t="s">
        <v>76</v>
      </c>
      <c r="B6" s="144"/>
      <c r="C6" s="144"/>
      <c r="D6" s="145"/>
      <c r="I6" t="s">
        <v>3</v>
      </c>
      <c r="J6" s="138">
        <v>15961</v>
      </c>
    </row>
    <row r="7" spans="1:11" ht="13.5" thickBot="1" x14ac:dyDescent="0.25">
      <c r="J7" s="94">
        <f>SUM(J3:J6)</f>
        <v>855130</v>
      </c>
      <c r="K7" s="153" t="s">
        <v>112</v>
      </c>
    </row>
    <row r="8" spans="1:11" ht="13.5" thickTop="1" x14ac:dyDescent="0.2">
      <c r="A8" s="110" t="s">
        <v>32</v>
      </c>
      <c r="B8" s="110" t="s">
        <v>33</v>
      </c>
      <c r="C8" s="110" t="s">
        <v>40</v>
      </c>
      <c r="D8" s="110" t="s">
        <v>34</v>
      </c>
      <c r="E8" s="110" t="s">
        <v>35</v>
      </c>
      <c r="F8" s="110" t="s">
        <v>103</v>
      </c>
      <c r="J8" s="104"/>
    </row>
    <row r="9" spans="1:11" x14ac:dyDescent="0.2">
      <c r="A9" s="113" t="s">
        <v>93</v>
      </c>
      <c r="B9" s="113" t="s">
        <v>38</v>
      </c>
      <c r="C9" s="113" t="s">
        <v>3</v>
      </c>
      <c r="D9" s="113">
        <v>0</v>
      </c>
      <c r="E9" s="113">
        <v>589</v>
      </c>
      <c r="F9" s="114">
        <v>15372</v>
      </c>
      <c r="I9" t="s">
        <v>42</v>
      </c>
      <c r="J9" s="98">
        <v>0.51</v>
      </c>
    </row>
    <row r="10" spans="1:11" x14ac:dyDescent="0.2">
      <c r="A10" s="113" t="s">
        <v>93</v>
      </c>
      <c r="B10" s="113" t="s">
        <v>38</v>
      </c>
      <c r="C10" s="113" t="s">
        <v>41</v>
      </c>
      <c r="D10" s="114">
        <v>93300</v>
      </c>
      <c r="E10" s="114">
        <v>59852</v>
      </c>
      <c r="F10" s="114">
        <v>462979</v>
      </c>
      <c r="I10" t="s">
        <v>78</v>
      </c>
      <c r="J10" s="98">
        <v>0.14000000000000001</v>
      </c>
    </row>
    <row r="11" spans="1:11" x14ac:dyDescent="0.2">
      <c r="A11" s="113" t="s">
        <v>93</v>
      </c>
      <c r="B11" s="113" t="s">
        <v>39</v>
      </c>
      <c r="C11" s="113" t="s">
        <v>41</v>
      </c>
      <c r="D11" s="114">
        <v>28368</v>
      </c>
      <c r="E11" s="114">
        <v>12156</v>
      </c>
      <c r="F11" s="114">
        <v>140774</v>
      </c>
      <c r="I11" t="s">
        <v>81</v>
      </c>
      <c r="J11" s="98">
        <v>0.24</v>
      </c>
    </row>
    <row r="12" spans="1:11" ht="13.5" thickBot="1" x14ac:dyDescent="0.25">
      <c r="J12" s="103">
        <f>SUM(J9:J11)</f>
        <v>0.89</v>
      </c>
    </row>
    <row r="13" spans="1:11" ht="13.5" thickBot="1" x14ac:dyDescent="0.25"/>
    <row r="14" spans="1:11" x14ac:dyDescent="0.2">
      <c r="A14" s="121" t="s">
        <v>83</v>
      </c>
      <c r="B14" s="122"/>
      <c r="C14" s="122"/>
      <c r="D14" s="123"/>
      <c r="E14" s="130"/>
    </row>
    <row r="15" spans="1:11" x14ac:dyDescent="0.2">
      <c r="A15" s="124" t="s">
        <v>92</v>
      </c>
      <c r="B15" s="59"/>
      <c r="C15" s="59"/>
      <c r="D15" s="125"/>
      <c r="E15" s="132"/>
    </row>
    <row r="16" spans="1:11" ht="13.5" thickBot="1" x14ac:dyDescent="0.25">
      <c r="A16" s="126" t="s">
        <v>76</v>
      </c>
      <c r="B16" s="127"/>
      <c r="C16" s="127"/>
      <c r="D16" s="128"/>
      <c r="E16" s="135"/>
    </row>
    <row r="18" spans="1:22" x14ac:dyDescent="0.2">
      <c r="A18" s="4" t="s">
        <v>32</v>
      </c>
      <c r="B18" s="4" t="s">
        <v>42</v>
      </c>
      <c r="C18" s="4" t="s">
        <v>51</v>
      </c>
      <c r="D18" s="4" t="s">
        <v>57</v>
      </c>
      <c r="E18" s="4" t="s">
        <v>34</v>
      </c>
      <c r="F18" s="4" t="s">
        <v>35</v>
      </c>
      <c r="G18" s="4" t="s">
        <v>103</v>
      </c>
      <c r="H18" s="4"/>
    </row>
    <row r="19" spans="1:22" x14ac:dyDescent="0.2">
      <c r="A19" t="s">
        <v>93</v>
      </c>
      <c r="B19" t="s">
        <v>21</v>
      </c>
      <c r="C19" t="s">
        <v>21</v>
      </c>
      <c r="D19" t="s">
        <v>21</v>
      </c>
      <c r="E19" s="53">
        <v>20426</v>
      </c>
      <c r="F19" s="53">
        <v>12459</v>
      </c>
      <c r="G19" s="53">
        <v>60108</v>
      </c>
      <c r="I19" s="146">
        <f>SUM(E19:H19)</f>
        <v>92993</v>
      </c>
    </row>
    <row r="20" spans="1:22" x14ac:dyDescent="0.2">
      <c r="E20" s="53"/>
      <c r="F20" s="53"/>
      <c r="G20" s="53"/>
    </row>
    <row r="21" spans="1:22" s="56" customFormat="1" x14ac:dyDescent="0.2">
      <c r="A21" s="56" t="s">
        <v>93</v>
      </c>
      <c r="B21" s="56" t="s">
        <v>21</v>
      </c>
      <c r="C21" s="56" t="s">
        <v>52</v>
      </c>
      <c r="D21" s="56" t="s">
        <v>58</v>
      </c>
      <c r="E21" s="56">
        <v>0</v>
      </c>
      <c r="F21" s="56">
        <v>0</v>
      </c>
      <c r="G21" s="55">
        <v>2289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s="56" customFormat="1" x14ac:dyDescent="0.2">
      <c r="A22" s="56" t="s">
        <v>93</v>
      </c>
      <c r="B22" s="56" t="s">
        <v>21</v>
      </c>
      <c r="C22" s="56" t="s">
        <v>52</v>
      </c>
      <c r="D22" s="56" t="s">
        <v>60</v>
      </c>
      <c r="E22" s="55">
        <v>6511</v>
      </c>
      <c r="F22" s="55">
        <v>16585</v>
      </c>
      <c r="G22" s="55">
        <v>60570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s="56" customFormat="1" x14ac:dyDescent="0.2">
      <c r="A23" s="56" t="s">
        <v>93</v>
      </c>
      <c r="B23" s="56" t="s">
        <v>21</v>
      </c>
      <c r="C23" s="56" t="s">
        <v>52</v>
      </c>
      <c r="D23" s="56" t="s">
        <v>62</v>
      </c>
      <c r="E23" s="55">
        <v>1366</v>
      </c>
      <c r="F23" s="56">
        <v>234</v>
      </c>
      <c r="G23" s="55">
        <v>24342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s="56" customFormat="1" x14ac:dyDescent="0.2">
      <c r="A24" s="56" t="s">
        <v>93</v>
      </c>
      <c r="B24" s="56" t="s">
        <v>21</v>
      </c>
      <c r="C24" s="56" t="s">
        <v>52</v>
      </c>
      <c r="D24" s="56" t="s">
        <v>70</v>
      </c>
      <c r="E24" s="56">
        <v>0</v>
      </c>
      <c r="F24" s="56">
        <v>0</v>
      </c>
      <c r="G24" s="56">
        <v>236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s="56" customFormat="1" x14ac:dyDescent="0.2">
      <c r="A25" s="56" t="s">
        <v>93</v>
      </c>
      <c r="B25" s="56" t="s">
        <v>21</v>
      </c>
      <c r="C25" s="56" t="s">
        <v>52</v>
      </c>
      <c r="D25" s="56" t="s">
        <v>71</v>
      </c>
      <c r="E25" s="56">
        <v>680</v>
      </c>
      <c r="F25" s="56">
        <v>0</v>
      </c>
      <c r="G25" s="55">
        <v>39555</v>
      </c>
      <c r="I25" s="151" t="s">
        <v>52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s="56" customFormat="1" x14ac:dyDescent="0.2">
      <c r="A26" s="56" t="s">
        <v>93</v>
      </c>
      <c r="B26" s="56" t="s">
        <v>21</v>
      </c>
      <c r="C26" s="56" t="s">
        <v>52</v>
      </c>
      <c r="D26" s="56" t="s">
        <v>72</v>
      </c>
      <c r="E26" s="55">
        <v>2257</v>
      </c>
      <c r="F26" s="55">
        <v>4449</v>
      </c>
      <c r="G26" s="55">
        <v>33167</v>
      </c>
      <c r="I26" s="150">
        <v>192241</v>
      </c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s="112" customFormat="1" x14ac:dyDescent="0.2">
      <c r="A27" s="112" t="s">
        <v>93</v>
      </c>
      <c r="B27" s="112" t="s">
        <v>21</v>
      </c>
      <c r="C27" s="112" t="s">
        <v>95</v>
      </c>
      <c r="D27" s="112" t="s">
        <v>63</v>
      </c>
      <c r="E27" s="139">
        <v>18450</v>
      </c>
      <c r="F27" s="139">
        <v>3900</v>
      </c>
      <c r="G27" s="139">
        <v>20828</v>
      </c>
      <c r="I27"/>
      <c r="J27"/>
      <c r="K27"/>
      <c r="L27"/>
      <c r="M27"/>
      <c r="N27"/>
      <c r="O27"/>
    </row>
    <row r="28" spans="1:22" s="112" customFormat="1" x14ac:dyDescent="0.2">
      <c r="A28" s="112" t="s">
        <v>93</v>
      </c>
      <c r="B28" s="112" t="s">
        <v>21</v>
      </c>
      <c r="C28" s="112" t="s">
        <v>54</v>
      </c>
      <c r="D28" s="112" t="s">
        <v>72</v>
      </c>
      <c r="E28" s="139">
        <v>3046</v>
      </c>
      <c r="F28" s="139">
        <v>1414</v>
      </c>
      <c r="G28" s="139">
        <v>24225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s="112" customFormat="1" x14ac:dyDescent="0.2">
      <c r="A29" s="112" t="s">
        <v>93</v>
      </c>
      <c r="B29" s="112" t="s">
        <v>21</v>
      </c>
      <c r="C29" s="112" t="s">
        <v>55</v>
      </c>
      <c r="D29" s="112" t="s">
        <v>66</v>
      </c>
      <c r="E29" s="139">
        <v>1359</v>
      </c>
      <c r="F29" s="112">
        <v>486</v>
      </c>
      <c r="G29" s="139">
        <v>3844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s="112" customFormat="1" x14ac:dyDescent="0.2">
      <c r="A30" s="112" t="s">
        <v>93</v>
      </c>
      <c r="B30" s="112" t="s">
        <v>21</v>
      </c>
      <c r="C30" s="112" t="s">
        <v>55</v>
      </c>
      <c r="D30" s="112" t="s">
        <v>96</v>
      </c>
      <c r="E30" s="112">
        <v>0</v>
      </c>
      <c r="F30" s="112">
        <v>20</v>
      </c>
      <c r="G30" s="112">
        <v>145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s="112" customFormat="1" x14ac:dyDescent="0.2">
      <c r="A31" s="112" t="s">
        <v>93</v>
      </c>
      <c r="B31" s="112" t="s">
        <v>21</v>
      </c>
      <c r="C31" s="112" t="s">
        <v>55</v>
      </c>
      <c r="D31" s="112" t="s">
        <v>68</v>
      </c>
      <c r="E31" s="139">
        <v>3607</v>
      </c>
      <c r="F31" s="139">
        <v>3138</v>
      </c>
      <c r="G31" s="139">
        <v>16037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112" customFormat="1" x14ac:dyDescent="0.2">
      <c r="A32" s="112" t="s">
        <v>93</v>
      </c>
      <c r="B32" s="112" t="s">
        <v>21</v>
      </c>
      <c r="C32" s="112" t="s">
        <v>55</v>
      </c>
      <c r="D32" s="112" t="s">
        <v>69</v>
      </c>
      <c r="E32" s="112">
        <v>0</v>
      </c>
      <c r="F32" s="112">
        <v>299</v>
      </c>
      <c r="G32" s="112">
        <v>365</v>
      </c>
      <c r="I32" s="147" t="s">
        <v>111</v>
      </c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s="112" customFormat="1" x14ac:dyDescent="0.2">
      <c r="A33" s="112" t="s">
        <v>93</v>
      </c>
      <c r="B33" s="112" t="s">
        <v>21</v>
      </c>
      <c r="C33" s="112" t="s">
        <v>55</v>
      </c>
      <c r="D33" s="112" t="s">
        <v>72</v>
      </c>
      <c r="E33" s="139">
        <v>2859</v>
      </c>
      <c r="F33" s="139">
        <v>1326</v>
      </c>
      <c r="G33" s="139">
        <v>7071</v>
      </c>
      <c r="I33" s="148">
        <v>112419</v>
      </c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s="69" customFormat="1" x14ac:dyDescent="0.2">
      <c r="A34" s="69" t="s">
        <v>93</v>
      </c>
      <c r="B34" s="69" t="s">
        <v>43</v>
      </c>
      <c r="C34" s="69" t="s">
        <v>21</v>
      </c>
      <c r="D34" s="69" t="s">
        <v>21</v>
      </c>
      <c r="E34" s="68">
        <v>24332</v>
      </c>
      <c r="F34" s="68">
        <v>6860</v>
      </c>
      <c r="G34" s="68">
        <v>69233</v>
      </c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22" s="69" customFormat="1" x14ac:dyDescent="0.2">
      <c r="A35" s="69" t="s">
        <v>93</v>
      </c>
      <c r="B35" s="69" t="s">
        <v>43</v>
      </c>
      <c r="C35" s="69" t="s">
        <v>55</v>
      </c>
      <c r="D35" s="69" t="s">
        <v>72</v>
      </c>
      <c r="E35" s="69">
        <v>0</v>
      </c>
      <c r="F35" s="69">
        <v>0</v>
      </c>
      <c r="G35" s="69">
        <v>346</v>
      </c>
      <c r="I35" s="136"/>
      <c r="J35"/>
      <c r="K35"/>
      <c r="L35"/>
      <c r="M35"/>
      <c r="N35"/>
      <c r="O35"/>
      <c r="P35"/>
      <c r="Q35"/>
      <c r="R35"/>
      <c r="S35"/>
      <c r="T35"/>
      <c r="U35"/>
    </row>
    <row r="36" spans="1:22" x14ac:dyDescent="0.2">
      <c r="A36" s="69" t="s">
        <v>93</v>
      </c>
      <c r="B36" s="69" t="s">
        <v>44</v>
      </c>
      <c r="C36" s="69" t="s">
        <v>21</v>
      </c>
      <c r="D36" s="69" t="s">
        <v>21</v>
      </c>
      <c r="E36" s="69">
        <v>665</v>
      </c>
      <c r="F36" s="69">
        <v>366</v>
      </c>
      <c r="G36" s="68">
        <v>3895</v>
      </c>
      <c r="H36" s="69"/>
    </row>
    <row r="37" spans="1:22" x14ac:dyDescent="0.2">
      <c r="A37" s="69" t="s">
        <v>93</v>
      </c>
      <c r="B37" s="69" t="s">
        <v>44</v>
      </c>
      <c r="C37" s="69" t="s">
        <v>52</v>
      </c>
      <c r="D37" s="69" t="s">
        <v>71</v>
      </c>
      <c r="E37" s="69">
        <v>0</v>
      </c>
      <c r="F37" s="69">
        <v>0</v>
      </c>
      <c r="G37" s="69">
        <v>829</v>
      </c>
      <c r="H37" s="69"/>
    </row>
    <row r="38" spans="1:22" x14ac:dyDescent="0.2">
      <c r="A38" s="69" t="s">
        <v>93</v>
      </c>
      <c r="B38" s="69" t="s">
        <v>45</v>
      </c>
      <c r="C38" s="69" t="s">
        <v>21</v>
      </c>
      <c r="D38" s="69" t="s">
        <v>21</v>
      </c>
      <c r="E38" s="68">
        <v>15842</v>
      </c>
      <c r="F38" s="68">
        <v>7656</v>
      </c>
      <c r="G38" s="68">
        <v>126938</v>
      </c>
      <c r="H38" s="69"/>
    </row>
    <row r="39" spans="1:22" x14ac:dyDescent="0.2">
      <c r="A39" s="69" t="s">
        <v>93</v>
      </c>
      <c r="B39" s="69" t="s">
        <v>46</v>
      </c>
      <c r="C39" s="69" t="s">
        <v>21</v>
      </c>
      <c r="D39" s="69" t="s">
        <v>21</v>
      </c>
      <c r="E39" s="68">
        <v>4534</v>
      </c>
      <c r="F39" s="68">
        <v>5967</v>
      </c>
      <c r="G39" s="68">
        <v>39618</v>
      </c>
      <c r="H39" s="69"/>
    </row>
    <row r="40" spans="1:22" x14ac:dyDescent="0.2">
      <c r="A40" s="69" t="s">
        <v>93</v>
      </c>
      <c r="B40" s="69" t="s">
        <v>105</v>
      </c>
      <c r="C40" s="69" t="s">
        <v>21</v>
      </c>
      <c r="D40" s="69" t="s">
        <v>21</v>
      </c>
      <c r="E40" s="68">
        <v>1365</v>
      </c>
      <c r="F40" s="69">
        <v>31</v>
      </c>
      <c r="G40" s="68">
        <v>6708</v>
      </c>
      <c r="H40" s="69"/>
    </row>
    <row r="41" spans="1:22" x14ac:dyDescent="0.2">
      <c r="A41" s="69" t="s">
        <v>93</v>
      </c>
      <c r="B41" s="69" t="s">
        <v>47</v>
      </c>
      <c r="C41" s="69" t="s">
        <v>21</v>
      </c>
      <c r="D41" s="69" t="s">
        <v>21</v>
      </c>
      <c r="E41" s="69">
        <v>279</v>
      </c>
      <c r="F41" s="69">
        <v>588</v>
      </c>
      <c r="G41" s="68">
        <v>5123</v>
      </c>
      <c r="H41" s="69"/>
    </row>
    <row r="42" spans="1:22" x14ac:dyDescent="0.2">
      <c r="A42" s="69" t="s">
        <v>93</v>
      </c>
      <c r="B42" s="69" t="s">
        <v>47</v>
      </c>
      <c r="C42" s="69" t="s">
        <v>52</v>
      </c>
      <c r="D42" s="69" t="s">
        <v>70</v>
      </c>
      <c r="E42" s="69">
        <v>392</v>
      </c>
      <c r="F42" s="69">
        <v>0</v>
      </c>
      <c r="G42" s="68">
        <v>2828</v>
      </c>
      <c r="H42" s="69"/>
    </row>
    <row r="43" spans="1:22" x14ac:dyDescent="0.2">
      <c r="A43" s="69" t="s">
        <v>93</v>
      </c>
      <c r="B43" s="69" t="s">
        <v>48</v>
      </c>
      <c r="C43" s="69" t="s">
        <v>21</v>
      </c>
      <c r="D43" s="69" t="s">
        <v>21</v>
      </c>
      <c r="E43" s="68">
        <v>2197</v>
      </c>
      <c r="F43" s="68">
        <v>2540</v>
      </c>
      <c r="G43" s="68">
        <v>41571</v>
      </c>
      <c r="H43" s="69"/>
    </row>
    <row r="44" spans="1:22" x14ac:dyDescent="0.2">
      <c r="A44" s="69" t="s">
        <v>93</v>
      </c>
      <c r="B44" s="69" t="s">
        <v>49</v>
      </c>
      <c r="C44" s="69" t="s">
        <v>21</v>
      </c>
      <c r="D44" s="69" t="s">
        <v>21</v>
      </c>
      <c r="E44" s="69">
        <v>0</v>
      </c>
      <c r="F44" s="69">
        <v>0</v>
      </c>
      <c r="G44" s="69">
        <v>0</v>
      </c>
      <c r="H44" s="69"/>
    </row>
    <row r="45" spans="1:22" x14ac:dyDescent="0.2">
      <c r="A45" s="69" t="s">
        <v>93</v>
      </c>
      <c r="B45" s="69" t="s">
        <v>50</v>
      </c>
      <c r="C45" s="69" t="s">
        <v>21</v>
      </c>
      <c r="D45" s="69" t="s">
        <v>21</v>
      </c>
      <c r="E45" s="68">
        <v>10383</v>
      </c>
      <c r="F45" s="68">
        <v>2842</v>
      </c>
      <c r="G45" s="68">
        <v>28690</v>
      </c>
      <c r="H45" s="69"/>
    </row>
    <row r="46" spans="1:22" x14ac:dyDescent="0.2">
      <c r="A46" s="69" t="s">
        <v>93</v>
      </c>
      <c r="B46" s="69" t="s">
        <v>106</v>
      </c>
      <c r="C46" s="69" t="s">
        <v>21</v>
      </c>
      <c r="D46" s="69" t="s">
        <v>21</v>
      </c>
      <c r="E46" s="69">
        <v>15</v>
      </c>
      <c r="F46" s="69">
        <v>0</v>
      </c>
      <c r="G46" s="69">
        <v>108</v>
      </c>
      <c r="H46" s="69"/>
      <c r="I46" s="152" t="s">
        <v>108</v>
      </c>
    </row>
    <row r="47" spans="1:22" x14ac:dyDescent="0.2">
      <c r="A47" s="69" t="s">
        <v>93</v>
      </c>
      <c r="B47" s="69" t="s">
        <v>107</v>
      </c>
      <c r="C47" s="69" t="s">
        <v>21</v>
      </c>
      <c r="D47" s="69" t="s">
        <v>21</v>
      </c>
      <c r="E47" s="68">
        <v>1102</v>
      </c>
      <c r="F47" s="68">
        <v>1437</v>
      </c>
      <c r="G47" s="69">
        <v>458</v>
      </c>
      <c r="H47" s="69"/>
      <c r="I47" s="149">
        <v>415738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BK52"/>
  <sheetViews>
    <sheetView workbookViewId="0"/>
  </sheetViews>
  <sheetFormatPr defaultRowHeight="12.75" x14ac:dyDescent="0.2"/>
  <cols>
    <col min="2" max="2" width="29.42578125" customWidth="1"/>
    <col min="3" max="3" width="23.85546875" customWidth="1"/>
    <col min="4" max="4" width="17.28515625" customWidth="1"/>
    <col min="6" max="6" width="11.28515625" customWidth="1"/>
    <col min="7" max="7" width="14.28515625" customWidth="1"/>
    <col min="8" max="8" width="13.42578125" customWidth="1"/>
    <col min="9" max="9" width="21" customWidth="1"/>
    <col min="10" max="10" width="12.42578125" customWidth="1"/>
  </cols>
  <sheetData>
    <row r="1" spans="1:10" ht="13.5" thickBot="1" x14ac:dyDescent="0.25"/>
    <row r="2" spans="1:10" x14ac:dyDescent="0.2">
      <c r="A2" s="121" t="s">
        <v>77</v>
      </c>
      <c r="B2" s="129"/>
      <c r="C2" s="129"/>
      <c r="D2" s="130"/>
      <c r="I2" t="s">
        <v>79</v>
      </c>
      <c r="J2" t="s">
        <v>80</v>
      </c>
    </row>
    <row r="3" spans="1:10" x14ac:dyDescent="0.2">
      <c r="A3" s="131" t="s">
        <v>73</v>
      </c>
      <c r="B3" s="60"/>
      <c r="C3" s="60"/>
      <c r="D3" s="132"/>
      <c r="I3" t="s">
        <v>38</v>
      </c>
      <c r="J3" s="102">
        <f>SUM(D10:F10)</f>
        <v>592026</v>
      </c>
    </row>
    <row r="4" spans="1:10" x14ac:dyDescent="0.2">
      <c r="A4" s="131" t="s">
        <v>74</v>
      </c>
      <c r="B4" s="60"/>
      <c r="C4" s="60"/>
      <c r="D4" s="132"/>
      <c r="I4" t="s">
        <v>39</v>
      </c>
      <c r="J4" s="102">
        <f>SUM(D11:F11)</f>
        <v>167988</v>
      </c>
    </row>
    <row r="5" spans="1:10" x14ac:dyDescent="0.2">
      <c r="A5" s="131" t="s">
        <v>92</v>
      </c>
      <c r="B5" s="60"/>
      <c r="C5" s="60"/>
      <c r="D5" s="132"/>
      <c r="I5" t="s">
        <v>2</v>
      </c>
      <c r="J5" s="101">
        <v>63388</v>
      </c>
    </row>
    <row r="6" spans="1:10" ht="13.5" thickBot="1" x14ac:dyDescent="0.25">
      <c r="A6" s="133" t="s">
        <v>76</v>
      </c>
      <c r="B6" s="134"/>
      <c r="C6" s="134"/>
      <c r="D6" s="135"/>
      <c r="I6" t="s">
        <v>3</v>
      </c>
      <c r="J6" s="138">
        <f>SUM(D9:F9)</f>
        <v>16756</v>
      </c>
    </row>
    <row r="7" spans="1:10" ht="14.25" customHeight="1" thickBot="1" x14ac:dyDescent="0.25">
      <c r="J7" s="94">
        <f>SUM(J3:J6)</f>
        <v>840158</v>
      </c>
    </row>
    <row r="8" spans="1:10" ht="14.25" customHeight="1" thickTop="1" x14ac:dyDescent="0.2">
      <c r="A8" s="110" t="s">
        <v>32</v>
      </c>
      <c r="B8" s="110" t="s">
        <v>33</v>
      </c>
      <c r="C8" s="110" t="s">
        <v>40</v>
      </c>
      <c r="D8" s="110" t="s">
        <v>34</v>
      </c>
      <c r="E8" s="110" t="s">
        <v>35</v>
      </c>
      <c r="F8" s="110" t="s">
        <v>103</v>
      </c>
      <c r="J8" s="104"/>
    </row>
    <row r="9" spans="1:10" ht="14.25" customHeight="1" x14ac:dyDescent="0.2">
      <c r="A9" s="106" t="s">
        <v>93</v>
      </c>
      <c r="B9" s="106" t="s">
        <v>38</v>
      </c>
      <c r="C9" s="106" t="s">
        <v>3</v>
      </c>
      <c r="D9" s="106">
        <v>670</v>
      </c>
      <c r="E9" s="106">
        <v>0</v>
      </c>
      <c r="F9" s="107">
        <v>16086</v>
      </c>
      <c r="I9" t="s">
        <v>42</v>
      </c>
      <c r="J9" s="98">
        <f>H52/J7</f>
        <v>0.49648637518181105</v>
      </c>
    </row>
    <row r="10" spans="1:10" ht="14.25" customHeight="1" x14ac:dyDescent="0.2">
      <c r="A10" s="106" t="s">
        <v>93</v>
      </c>
      <c r="B10" s="106" t="s">
        <v>38</v>
      </c>
      <c r="C10" s="106" t="s">
        <v>41</v>
      </c>
      <c r="D10" s="107">
        <v>71637</v>
      </c>
      <c r="E10" s="107">
        <v>31137</v>
      </c>
      <c r="F10" s="107">
        <v>489252</v>
      </c>
      <c r="I10" t="s">
        <v>78</v>
      </c>
      <c r="J10" s="98" t="e">
        <f>H31/J7</f>
        <v>#VALUE!</v>
      </c>
    </row>
    <row r="11" spans="1:10" x14ac:dyDescent="0.2">
      <c r="A11" s="108" t="s">
        <v>93</v>
      </c>
      <c r="B11" s="106" t="s">
        <v>39</v>
      </c>
      <c r="C11" s="106" t="s">
        <v>41</v>
      </c>
      <c r="D11" s="107">
        <v>14162</v>
      </c>
      <c r="E11" s="107">
        <v>3256</v>
      </c>
      <c r="F11" s="107">
        <v>150570</v>
      </c>
      <c r="G11" s="53"/>
      <c r="I11" t="s">
        <v>81</v>
      </c>
      <c r="J11" s="98">
        <f>H26/J7</f>
        <v>0.24164859466909797</v>
      </c>
    </row>
    <row r="12" spans="1:10" ht="13.5" thickBot="1" x14ac:dyDescent="0.25">
      <c r="A12" s="58"/>
      <c r="D12" s="53"/>
      <c r="E12" s="53"/>
      <c r="F12" s="53"/>
      <c r="G12" s="53"/>
      <c r="J12" s="103" t="e">
        <f>SUM(J9:J11)</f>
        <v>#VALUE!</v>
      </c>
    </row>
    <row r="13" spans="1:10" ht="13.5" thickBot="1" x14ac:dyDescent="0.25">
      <c r="A13" s="58"/>
      <c r="D13" s="53"/>
      <c r="E13" s="53"/>
      <c r="F13" s="53"/>
      <c r="G13" s="53"/>
    </row>
    <row r="14" spans="1:10" x14ac:dyDescent="0.2">
      <c r="A14" s="121" t="s">
        <v>83</v>
      </c>
      <c r="B14" s="122"/>
      <c r="C14" s="122"/>
      <c r="D14" s="123"/>
    </row>
    <row r="15" spans="1:10" x14ac:dyDescent="0.2">
      <c r="A15" s="124" t="s">
        <v>92</v>
      </c>
      <c r="B15" s="59"/>
      <c r="C15" s="59"/>
      <c r="D15" s="125"/>
    </row>
    <row r="16" spans="1:10" ht="13.5" thickBot="1" x14ac:dyDescent="0.25">
      <c r="A16" s="126" t="s">
        <v>76</v>
      </c>
      <c r="B16" s="127"/>
      <c r="C16" s="127"/>
      <c r="D16" s="128"/>
    </row>
    <row r="19" spans="1:63" s="4" customFormat="1" x14ac:dyDescent="0.2">
      <c r="A19" s="120" t="s">
        <v>32</v>
      </c>
      <c r="B19" s="120" t="s">
        <v>42</v>
      </c>
      <c r="C19" s="120" t="s">
        <v>51</v>
      </c>
      <c r="D19" s="120" t="s">
        <v>57</v>
      </c>
      <c r="E19" s="120" t="s">
        <v>34</v>
      </c>
      <c r="F19" s="120" t="s">
        <v>35</v>
      </c>
      <c r="G19" s="120" t="s">
        <v>103</v>
      </c>
    </row>
    <row r="20" spans="1:63" x14ac:dyDescent="0.2">
      <c r="A20" s="113" t="s">
        <v>93</v>
      </c>
      <c r="B20" s="113" t="s">
        <v>21</v>
      </c>
      <c r="C20" s="113" t="s">
        <v>21</v>
      </c>
      <c r="D20" s="113" t="s">
        <v>21</v>
      </c>
      <c r="E20" s="114">
        <v>15479</v>
      </c>
      <c r="F20" s="114">
        <v>4568</v>
      </c>
      <c r="G20" s="114">
        <v>15373</v>
      </c>
      <c r="H20" s="136">
        <v>35420</v>
      </c>
    </row>
    <row r="21" spans="1:63" x14ac:dyDescent="0.2">
      <c r="H21" s="4"/>
    </row>
    <row r="22" spans="1:63" s="56" customFormat="1" x14ac:dyDescent="0.2">
      <c r="A22" s="115" t="s">
        <v>93</v>
      </c>
      <c r="B22" s="115" t="s">
        <v>21</v>
      </c>
      <c r="C22" s="115" t="s">
        <v>52</v>
      </c>
      <c r="D22" s="115" t="s">
        <v>60</v>
      </c>
      <c r="E22" s="116">
        <v>16984</v>
      </c>
      <c r="F22" s="116">
        <v>1339</v>
      </c>
      <c r="G22" s="116">
        <v>93807</v>
      </c>
      <c r="H22" s="4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1:63" s="56" customFormat="1" x14ac:dyDescent="0.2">
      <c r="A23" s="115" t="s">
        <v>93</v>
      </c>
      <c r="B23" s="115" t="s">
        <v>21</v>
      </c>
      <c r="C23" s="115" t="s">
        <v>52</v>
      </c>
      <c r="D23" s="115" t="s">
        <v>62</v>
      </c>
      <c r="E23" s="115">
        <v>0</v>
      </c>
      <c r="F23" s="115">
        <v>682</v>
      </c>
      <c r="G23" s="116">
        <v>32250</v>
      </c>
      <c r="H23" s="4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1:63" s="56" customFormat="1" x14ac:dyDescent="0.2">
      <c r="A24" s="115" t="s">
        <v>93</v>
      </c>
      <c r="B24" s="115" t="s">
        <v>21</v>
      </c>
      <c r="C24" s="115" t="s">
        <v>52</v>
      </c>
      <c r="D24" s="115" t="s">
        <v>70</v>
      </c>
      <c r="E24" s="115">
        <v>164</v>
      </c>
      <c r="F24" s="115">
        <v>0</v>
      </c>
      <c r="G24" s="116">
        <v>754</v>
      </c>
      <c r="H24" s="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1:63" s="56" customFormat="1" x14ac:dyDescent="0.2">
      <c r="A25" s="115" t="s">
        <v>93</v>
      </c>
      <c r="B25" s="115" t="s">
        <v>21</v>
      </c>
      <c r="C25" s="115" t="s">
        <v>52</v>
      </c>
      <c r="D25" s="115" t="s">
        <v>71</v>
      </c>
      <c r="E25" s="116">
        <v>0</v>
      </c>
      <c r="F25" s="116">
        <v>255</v>
      </c>
      <c r="G25" s="116">
        <v>23277</v>
      </c>
      <c r="H25" s="4" t="s">
        <v>52</v>
      </c>
      <c r="I25" s="111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1:63" s="56" customFormat="1" x14ac:dyDescent="0.2">
      <c r="A26" s="115" t="s">
        <v>93</v>
      </c>
      <c r="B26" s="115" t="s">
        <v>21</v>
      </c>
      <c r="C26" s="115" t="s">
        <v>52</v>
      </c>
      <c r="D26" s="115" t="s">
        <v>72</v>
      </c>
      <c r="E26" s="115">
        <v>779</v>
      </c>
      <c r="F26" s="115">
        <v>606</v>
      </c>
      <c r="G26" s="116">
        <v>32126</v>
      </c>
      <c r="H26" s="136">
        <v>203023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1:63" s="56" customFormat="1" x14ac:dyDescent="0.2">
      <c r="A27" s="117" t="s">
        <v>93</v>
      </c>
      <c r="B27" s="117" t="s">
        <v>21</v>
      </c>
      <c r="C27" s="117" t="s">
        <v>95</v>
      </c>
      <c r="D27" s="117" t="s">
        <v>63</v>
      </c>
      <c r="E27" s="118">
        <v>7746</v>
      </c>
      <c r="F27" s="118">
        <v>3324</v>
      </c>
      <c r="G27" s="118">
        <v>62168</v>
      </c>
      <c r="H27" s="4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1:63" s="112" customFormat="1" x14ac:dyDescent="0.2">
      <c r="A28" s="117" t="s">
        <v>93</v>
      </c>
      <c r="B28" s="117" t="s">
        <v>21</v>
      </c>
      <c r="C28" s="117" t="s">
        <v>54</v>
      </c>
      <c r="D28" s="117" t="s">
        <v>65</v>
      </c>
      <c r="E28" s="117">
        <v>0</v>
      </c>
      <c r="F28" s="117">
        <v>235</v>
      </c>
      <c r="G28" s="117">
        <v>456</v>
      </c>
      <c r="H28" s="4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1:63" s="112" customFormat="1" x14ac:dyDescent="0.2">
      <c r="A29" s="117" t="s">
        <v>93</v>
      </c>
      <c r="B29" s="117" t="s">
        <v>21</v>
      </c>
      <c r="C29" s="117" t="s">
        <v>54</v>
      </c>
      <c r="D29" s="117" t="s">
        <v>104</v>
      </c>
      <c r="E29" s="117">
        <v>0</v>
      </c>
      <c r="F29" s="118">
        <v>0</v>
      </c>
      <c r="G29" s="118">
        <v>79</v>
      </c>
      <c r="H29" s="4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1:63" s="112" customFormat="1" x14ac:dyDescent="0.2">
      <c r="A30" s="117" t="s">
        <v>93</v>
      </c>
      <c r="B30" s="117" t="s">
        <v>21</v>
      </c>
      <c r="C30" s="117" t="s">
        <v>54</v>
      </c>
      <c r="D30" s="117" t="s">
        <v>72</v>
      </c>
      <c r="E30" s="117">
        <v>573</v>
      </c>
      <c r="F30" s="118">
        <v>1683</v>
      </c>
      <c r="G30" s="118">
        <v>5622</v>
      </c>
      <c r="H30" s="4" t="s">
        <v>21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1:63" s="112" customFormat="1" x14ac:dyDescent="0.2">
      <c r="A31" s="117" t="s">
        <v>93</v>
      </c>
      <c r="B31" s="117" t="s">
        <v>21</v>
      </c>
      <c r="C31" s="117" t="s">
        <v>55</v>
      </c>
      <c r="D31" s="117" t="s">
        <v>66</v>
      </c>
      <c r="E31" s="117">
        <v>565</v>
      </c>
      <c r="F31" s="118">
        <v>0</v>
      </c>
      <c r="G31" s="118">
        <v>3973</v>
      </c>
      <c r="H31" s="136" t="s">
        <v>21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1:63" s="112" customFormat="1" x14ac:dyDescent="0.2">
      <c r="A32" s="117" t="s">
        <v>93</v>
      </c>
      <c r="B32" s="117" t="s">
        <v>21</v>
      </c>
      <c r="C32" s="117" t="s">
        <v>55</v>
      </c>
      <c r="D32" s="117" t="s">
        <v>96</v>
      </c>
      <c r="E32" s="117">
        <v>20</v>
      </c>
      <c r="F32" s="117">
        <v>0</v>
      </c>
      <c r="G32" s="118">
        <v>639</v>
      </c>
      <c r="H32" s="4" t="s">
        <v>21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</row>
    <row r="33" spans="1:63" s="112" customFormat="1" x14ac:dyDescent="0.2">
      <c r="A33" s="117" t="s">
        <v>93</v>
      </c>
      <c r="B33" s="117" t="s">
        <v>21</v>
      </c>
      <c r="C33" s="117" t="s">
        <v>55</v>
      </c>
      <c r="D33" s="117" t="s">
        <v>68</v>
      </c>
      <c r="E33" s="118">
        <v>2010</v>
      </c>
      <c r="F33" s="118">
        <v>825</v>
      </c>
      <c r="G33" s="118">
        <v>16506</v>
      </c>
      <c r="H33" s="137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</row>
    <row r="34" spans="1:63" s="112" customFormat="1" x14ac:dyDescent="0.2">
      <c r="A34" s="117" t="s">
        <v>93</v>
      </c>
      <c r="B34" s="117" t="s">
        <v>21</v>
      </c>
      <c r="C34" s="117" t="s">
        <v>55</v>
      </c>
      <c r="D34" s="117" t="s">
        <v>69</v>
      </c>
      <c r="E34" s="118">
        <v>10</v>
      </c>
      <c r="F34" s="118" t="s">
        <v>21</v>
      </c>
      <c r="G34" s="118">
        <v>376</v>
      </c>
      <c r="H34" s="4" t="s">
        <v>110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1:63" s="112" customFormat="1" x14ac:dyDescent="0.2">
      <c r="A35" s="117" t="s">
        <v>93</v>
      </c>
      <c r="B35" s="117" t="s">
        <v>21</v>
      </c>
      <c r="C35" s="117" t="s">
        <v>55</v>
      </c>
      <c r="D35" s="117" t="s">
        <v>72</v>
      </c>
      <c r="E35" s="118">
        <v>6471</v>
      </c>
      <c r="F35" s="117">
        <v>815</v>
      </c>
      <c r="G35" s="118">
        <v>7102</v>
      </c>
      <c r="H35" s="136">
        <v>96921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1:63" s="105" customFormat="1" x14ac:dyDescent="0.2">
      <c r="A36" s="109" t="s">
        <v>93</v>
      </c>
      <c r="B36" s="109" t="s">
        <v>43</v>
      </c>
      <c r="C36" s="109" t="s">
        <v>21</v>
      </c>
      <c r="D36" s="109" t="s">
        <v>21</v>
      </c>
      <c r="E36" s="119">
        <v>10831</v>
      </c>
      <c r="F36" s="119">
        <v>7769</v>
      </c>
      <c r="G36" s="119">
        <v>86873</v>
      </c>
      <c r="H36" s="4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1:63" s="105" customFormat="1" x14ac:dyDescent="0.2">
      <c r="A37" s="109" t="s">
        <v>93</v>
      </c>
      <c r="B37" s="109" t="s">
        <v>43</v>
      </c>
      <c r="C37" s="109" t="s">
        <v>54</v>
      </c>
      <c r="D37" s="109" t="s">
        <v>72</v>
      </c>
      <c r="E37" s="109">
        <v>0</v>
      </c>
      <c r="F37" s="109">
        <v>0</v>
      </c>
      <c r="G37" s="109">
        <v>466</v>
      </c>
      <c r="H37" s="4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1:63" s="105" customFormat="1" x14ac:dyDescent="0.2">
      <c r="A38" s="109" t="s">
        <v>93</v>
      </c>
      <c r="B38" s="109" t="s">
        <v>44</v>
      </c>
      <c r="C38" s="109" t="s">
        <v>21</v>
      </c>
      <c r="D38" s="109" t="s">
        <v>21</v>
      </c>
      <c r="E38" s="119">
        <v>366</v>
      </c>
      <c r="F38" s="119">
        <v>644</v>
      </c>
      <c r="G38" s="119">
        <v>3005</v>
      </c>
      <c r="H38" s="4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1:63" s="105" customFormat="1" x14ac:dyDescent="0.2">
      <c r="A39" s="109" t="s">
        <v>93</v>
      </c>
      <c r="B39" s="109" t="s">
        <v>45</v>
      </c>
      <c r="C39" s="109" t="s">
        <v>21</v>
      </c>
      <c r="D39" s="109" t="s">
        <v>21</v>
      </c>
      <c r="E39" s="119">
        <v>8387</v>
      </c>
      <c r="F39" s="119">
        <v>4070</v>
      </c>
      <c r="G39" s="119">
        <v>133246</v>
      </c>
      <c r="H39" s="4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1:63" s="105" customFormat="1" x14ac:dyDescent="0.2">
      <c r="A40" s="109" t="s">
        <v>93</v>
      </c>
      <c r="B40" s="109" t="s">
        <v>46</v>
      </c>
      <c r="C40" s="109" t="s">
        <v>21</v>
      </c>
      <c r="D40" s="109" t="s">
        <v>21</v>
      </c>
      <c r="E40" s="119">
        <v>7859</v>
      </c>
      <c r="F40" s="119">
        <v>2725</v>
      </c>
      <c r="G40" s="119">
        <v>45435</v>
      </c>
      <c r="H40" s="4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1:63" s="105" customFormat="1" x14ac:dyDescent="0.2">
      <c r="A41" s="109" t="s">
        <v>93</v>
      </c>
      <c r="B41" s="109" t="s">
        <v>46</v>
      </c>
      <c r="C41" s="109" t="s">
        <v>55</v>
      </c>
      <c r="D41" s="109" t="s">
        <v>68</v>
      </c>
      <c r="E41" s="109">
        <v>0</v>
      </c>
      <c r="F41" s="109">
        <v>0</v>
      </c>
      <c r="G41" s="119">
        <v>1587</v>
      </c>
      <c r="H41" s="4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1:63" s="105" customFormat="1" x14ac:dyDescent="0.2">
      <c r="A42" s="109" t="s">
        <v>93</v>
      </c>
      <c r="B42" s="109" t="s">
        <v>105</v>
      </c>
      <c r="C42" s="109" t="s">
        <v>21</v>
      </c>
      <c r="D42" s="109" t="s">
        <v>21</v>
      </c>
      <c r="E42" s="119">
        <v>1623</v>
      </c>
      <c r="F42" s="109">
        <v>698</v>
      </c>
      <c r="G42" s="119">
        <v>6146</v>
      </c>
      <c r="H42" s="4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1:63" s="105" customFormat="1" x14ac:dyDescent="0.2">
      <c r="A43" s="109" t="s">
        <v>93</v>
      </c>
      <c r="B43" s="109" t="s">
        <v>105</v>
      </c>
      <c r="C43" s="109" t="s">
        <v>95</v>
      </c>
      <c r="D43" s="109" t="s">
        <v>63</v>
      </c>
      <c r="E43" s="119">
        <v>31</v>
      </c>
      <c r="F43" s="119">
        <v>0</v>
      </c>
      <c r="G43" s="119">
        <v>118</v>
      </c>
      <c r="H43" s="4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4" spans="1:63" s="105" customFormat="1" x14ac:dyDescent="0.2">
      <c r="A44" s="109" t="s">
        <v>93</v>
      </c>
      <c r="B44" s="109" t="s">
        <v>47</v>
      </c>
      <c r="C44" s="109" t="s">
        <v>21</v>
      </c>
      <c r="D44" s="109" t="s">
        <v>21</v>
      </c>
      <c r="E44" s="109">
        <v>562</v>
      </c>
      <c r="F44" s="109">
        <v>0</v>
      </c>
      <c r="G44" s="119">
        <v>5718</v>
      </c>
      <c r="H44" s="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</row>
    <row r="45" spans="1:63" s="105" customFormat="1" x14ac:dyDescent="0.2">
      <c r="A45" s="109" t="s">
        <v>93</v>
      </c>
      <c r="B45" s="109" t="s">
        <v>47</v>
      </c>
      <c r="C45" s="109" t="s">
        <v>52</v>
      </c>
      <c r="D45" s="109" t="s">
        <v>70</v>
      </c>
      <c r="E45" s="119">
        <v>0</v>
      </c>
      <c r="F45" s="119">
        <v>0</v>
      </c>
      <c r="G45" s="119">
        <v>2605</v>
      </c>
      <c r="H45" s="4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1:63" s="105" customFormat="1" x14ac:dyDescent="0.2">
      <c r="A46" s="109" t="s">
        <v>93</v>
      </c>
      <c r="B46" s="109" t="s">
        <v>48</v>
      </c>
      <c r="C46" s="109" t="s">
        <v>21</v>
      </c>
      <c r="D46" s="109" t="s">
        <v>21</v>
      </c>
      <c r="E46" s="119">
        <v>2603</v>
      </c>
      <c r="F46" s="119">
        <v>2370</v>
      </c>
      <c r="G46" s="119">
        <v>42641</v>
      </c>
      <c r="H46" s="4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</row>
    <row r="47" spans="1:63" s="105" customFormat="1" x14ac:dyDescent="0.2">
      <c r="A47" s="109" t="s">
        <v>93</v>
      </c>
      <c r="B47" s="109" t="s">
        <v>49</v>
      </c>
      <c r="C47" s="109" t="s">
        <v>21</v>
      </c>
      <c r="D47" s="109" t="s">
        <v>21</v>
      </c>
      <c r="E47" s="109">
        <v>0</v>
      </c>
      <c r="F47" s="109">
        <v>0</v>
      </c>
      <c r="G47" s="109">
        <v>0</v>
      </c>
      <c r="H47" s="4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</row>
    <row r="48" spans="1:63" s="105" customFormat="1" x14ac:dyDescent="0.2">
      <c r="A48" s="109" t="s">
        <v>93</v>
      </c>
      <c r="B48" s="109" t="s">
        <v>50</v>
      </c>
      <c r="C48" s="109" t="s">
        <v>21</v>
      </c>
      <c r="D48" s="109" t="s">
        <v>21</v>
      </c>
      <c r="E48" s="119">
        <v>3143</v>
      </c>
      <c r="F48" s="119">
        <v>1782</v>
      </c>
      <c r="G48" s="119">
        <v>31087</v>
      </c>
      <c r="H48" s="4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</row>
    <row r="49" spans="1:63" s="105" customFormat="1" x14ac:dyDescent="0.2">
      <c r="A49" s="109" t="s">
        <v>93</v>
      </c>
      <c r="B49" s="109" t="s">
        <v>50</v>
      </c>
      <c r="C49" s="109" t="s">
        <v>95</v>
      </c>
      <c r="D49" s="109" t="s">
        <v>63</v>
      </c>
      <c r="E49" s="109">
        <v>0</v>
      </c>
      <c r="F49" s="109">
        <v>0</v>
      </c>
      <c r="G49" s="109">
        <v>109</v>
      </c>
      <c r="H49" s="4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</row>
    <row r="50" spans="1:63" s="105" customFormat="1" x14ac:dyDescent="0.2">
      <c r="A50" s="109" t="s">
        <v>93</v>
      </c>
      <c r="B50" s="109" t="s">
        <v>50</v>
      </c>
      <c r="C50" s="109" t="s">
        <v>52</v>
      </c>
      <c r="D50" s="109" t="s">
        <v>72</v>
      </c>
      <c r="E50" s="109">
        <v>80</v>
      </c>
      <c r="F50" s="109">
        <v>0</v>
      </c>
      <c r="G50" s="109">
        <v>571</v>
      </c>
      <c r="H50" s="4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</row>
    <row r="51" spans="1:63" s="105" customFormat="1" x14ac:dyDescent="0.2">
      <c r="A51" s="109" t="s">
        <v>93</v>
      </c>
      <c r="B51" s="109" t="s">
        <v>106</v>
      </c>
      <c r="C51" s="109" t="s">
        <v>21</v>
      </c>
      <c r="D51" s="109" t="s">
        <v>21</v>
      </c>
      <c r="E51" s="119">
        <v>182</v>
      </c>
      <c r="F51" s="109">
        <v>0</v>
      </c>
      <c r="G51" s="119">
        <v>1793</v>
      </c>
      <c r="H51" s="137" t="s">
        <v>109</v>
      </c>
      <c r="I51" s="5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</row>
    <row r="52" spans="1:63" s="105" customFormat="1" x14ac:dyDescent="0.2">
      <c r="A52" s="109" t="s">
        <v>93</v>
      </c>
      <c r="B52" s="109" t="s">
        <v>107</v>
      </c>
      <c r="C52" s="109" t="s">
        <v>21</v>
      </c>
      <c r="D52" s="109" t="s">
        <v>21</v>
      </c>
      <c r="E52" s="109">
        <v>0</v>
      </c>
      <c r="F52" s="109">
        <v>2</v>
      </c>
      <c r="G52" s="109">
        <v>0</v>
      </c>
      <c r="H52" s="136">
        <v>417127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AK53"/>
  <sheetViews>
    <sheetView workbookViewId="0"/>
  </sheetViews>
  <sheetFormatPr defaultRowHeight="12.75" x14ac:dyDescent="0.2"/>
  <cols>
    <col min="2" max="2" width="29.42578125" customWidth="1"/>
    <col min="3" max="3" width="23.85546875" customWidth="1"/>
    <col min="4" max="4" width="17.28515625" customWidth="1"/>
    <col min="8" max="8" width="11" customWidth="1"/>
    <col min="9" max="9" width="21" customWidth="1"/>
    <col min="10" max="10" width="12.42578125" customWidth="1"/>
  </cols>
  <sheetData>
    <row r="1" spans="1:37" x14ac:dyDescent="0.2">
      <c r="A1" s="4" t="s">
        <v>77</v>
      </c>
      <c r="I1" t="s">
        <v>79</v>
      </c>
      <c r="J1" t="s">
        <v>80</v>
      </c>
    </row>
    <row r="2" spans="1:37" x14ac:dyDescent="0.2">
      <c r="A2" s="58" t="s">
        <v>73</v>
      </c>
      <c r="I2" t="s">
        <v>38</v>
      </c>
      <c r="J2" s="100">
        <f>SUM(D10:F10)</f>
        <v>580197</v>
      </c>
    </row>
    <row r="3" spans="1:37" x14ac:dyDescent="0.2">
      <c r="A3" s="58" t="s">
        <v>74</v>
      </c>
      <c r="I3" t="s">
        <v>39</v>
      </c>
      <c r="J3" s="100">
        <f>SUM(D11:F11)</f>
        <v>173055</v>
      </c>
    </row>
    <row r="4" spans="1:37" x14ac:dyDescent="0.2">
      <c r="A4" s="58" t="s">
        <v>92</v>
      </c>
      <c r="I4" t="s">
        <v>2</v>
      </c>
      <c r="J4" s="101">
        <v>69159</v>
      </c>
    </row>
    <row r="5" spans="1:37" x14ac:dyDescent="0.2">
      <c r="A5" s="58" t="s">
        <v>76</v>
      </c>
      <c r="I5" t="s">
        <v>3</v>
      </c>
      <c r="J5" s="100">
        <f>SUM(D9:F9)</f>
        <v>16139</v>
      </c>
    </row>
    <row r="6" spans="1:37" ht="13.5" thickBot="1" x14ac:dyDescent="0.25">
      <c r="J6" s="94">
        <v>838550</v>
      </c>
    </row>
    <row r="7" spans="1:37" ht="13.5" thickTop="1" x14ac:dyDescent="0.2"/>
    <row r="8" spans="1:37" x14ac:dyDescent="0.2">
      <c r="A8" s="95" t="s">
        <v>32</v>
      </c>
      <c r="B8" s="95" t="s">
        <v>33</v>
      </c>
      <c r="C8" s="95" t="s">
        <v>40</v>
      </c>
      <c r="D8" s="95" t="s">
        <v>34</v>
      </c>
      <c r="E8" s="95" t="s">
        <v>35</v>
      </c>
      <c r="F8" s="95" t="s">
        <v>103</v>
      </c>
      <c r="G8" s="95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x14ac:dyDescent="0.2">
      <c r="A9" s="96" t="s">
        <v>93</v>
      </c>
      <c r="B9" s="96" t="s">
        <v>38</v>
      </c>
      <c r="C9" s="96" t="s">
        <v>3</v>
      </c>
      <c r="D9" s="96">
        <v>0</v>
      </c>
      <c r="E9" s="96">
        <v>0</v>
      </c>
      <c r="F9" s="97">
        <v>16139</v>
      </c>
      <c r="G9" s="96"/>
      <c r="I9" t="s">
        <v>42</v>
      </c>
      <c r="J9" s="98">
        <f>H53/J6</f>
        <v>0.4894758809850337</v>
      </c>
    </row>
    <row r="10" spans="1:37" x14ac:dyDescent="0.2">
      <c r="A10" s="96" t="s">
        <v>93</v>
      </c>
      <c r="B10" s="96" t="s">
        <v>38</v>
      </c>
      <c r="C10" s="96" t="s">
        <v>41</v>
      </c>
      <c r="D10" s="97">
        <v>38944</v>
      </c>
      <c r="E10" s="97">
        <v>91058</v>
      </c>
      <c r="F10" s="97">
        <v>450195</v>
      </c>
      <c r="G10" s="96"/>
      <c r="I10" t="s">
        <v>78</v>
      </c>
      <c r="J10" s="98">
        <f>H35/J6</f>
        <v>0.18389601097131955</v>
      </c>
    </row>
    <row r="11" spans="1:37" x14ac:dyDescent="0.2">
      <c r="A11" s="96" t="s">
        <v>93</v>
      </c>
      <c r="B11" s="96" t="s">
        <v>39</v>
      </c>
      <c r="C11" s="96" t="s">
        <v>41</v>
      </c>
      <c r="D11" s="97">
        <v>4145</v>
      </c>
      <c r="E11" s="97">
        <v>27067</v>
      </c>
      <c r="F11" s="97">
        <v>141843</v>
      </c>
      <c r="G11" s="96"/>
      <c r="I11" t="s">
        <v>81</v>
      </c>
      <c r="J11" s="98">
        <f>H28/J6</f>
        <v>0.21007691849025104</v>
      </c>
    </row>
    <row r="12" spans="1:37" x14ac:dyDescent="0.2">
      <c r="J12" s="85">
        <f>SUM(J9:J11)</f>
        <v>0.88344881044660428</v>
      </c>
    </row>
    <row r="14" spans="1:37" x14ac:dyDescent="0.2">
      <c r="A14" s="4" t="s">
        <v>82</v>
      </c>
      <c r="I14" s="74"/>
    </row>
    <row r="15" spans="1:37" x14ac:dyDescent="0.2">
      <c r="A15" s="58" t="s">
        <v>73</v>
      </c>
    </row>
    <row r="16" spans="1:37" x14ac:dyDescent="0.2">
      <c r="A16" s="58" t="s">
        <v>83</v>
      </c>
    </row>
    <row r="17" spans="1:9" x14ac:dyDescent="0.2">
      <c r="A17" s="58" t="s">
        <v>92</v>
      </c>
    </row>
    <row r="18" spans="1:9" x14ac:dyDescent="0.2">
      <c r="A18" s="58" t="s">
        <v>76</v>
      </c>
    </row>
    <row r="21" spans="1:9" x14ac:dyDescent="0.2">
      <c r="A21" t="s">
        <v>32</v>
      </c>
      <c r="B21" t="s">
        <v>42</v>
      </c>
      <c r="C21" t="s">
        <v>51</v>
      </c>
      <c r="D21" t="s">
        <v>57</v>
      </c>
      <c r="E21" t="s">
        <v>34</v>
      </c>
      <c r="F21" t="s">
        <v>35</v>
      </c>
      <c r="G21" t="s">
        <v>103</v>
      </c>
    </row>
    <row r="22" spans="1:9" x14ac:dyDescent="0.2">
      <c r="A22" t="s">
        <v>93</v>
      </c>
      <c r="B22" t="s">
        <v>21</v>
      </c>
      <c r="C22" t="s">
        <v>21</v>
      </c>
      <c r="D22" t="s">
        <v>21</v>
      </c>
      <c r="E22" s="53">
        <v>6274</v>
      </c>
      <c r="F22" s="53">
        <v>9358</v>
      </c>
      <c r="G22" s="53">
        <v>12942</v>
      </c>
    </row>
    <row r="23" spans="1:9" x14ac:dyDescent="0.2">
      <c r="A23" s="86" t="s">
        <v>93</v>
      </c>
      <c r="B23" s="86" t="s">
        <v>21</v>
      </c>
      <c r="C23" s="86" t="s">
        <v>95</v>
      </c>
      <c r="D23" s="86" t="s">
        <v>63</v>
      </c>
      <c r="E23" s="87">
        <v>5732</v>
      </c>
      <c r="F23" s="87">
        <v>18560</v>
      </c>
      <c r="G23" s="87">
        <v>60256</v>
      </c>
      <c r="H23" s="86"/>
    </row>
    <row r="24" spans="1:9" x14ac:dyDescent="0.2">
      <c r="A24" s="56" t="s">
        <v>93</v>
      </c>
      <c r="B24" s="56" t="s">
        <v>21</v>
      </c>
      <c r="C24" s="56" t="s">
        <v>52</v>
      </c>
      <c r="D24" s="56" t="s">
        <v>60</v>
      </c>
      <c r="E24" s="56">
        <v>660</v>
      </c>
      <c r="F24" s="55">
        <v>9020</v>
      </c>
      <c r="G24" s="55">
        <v>57123</v>
      </c>
      <c r="H24" s="56"/>
    </row>
    <row r="25" spans="1:9" x14ac:dyDescent="0.2">
      <c r="A25" s="56" t="s">
        <v>93</v>
      </c>
      <c r="B25" s="56" t="s">
        <v>21</v>
      </c>
      <c r="C25" s="56" t="s">
        <v>52</v>
      </c>
      <c r="D25" s="56" t="s">
        <v>62</v>
      </c>
      <c r="E25" s="56">
        <v>682</v>
      </c>
      <c r="F25" s="56">
        <v>395</v>
      </c>
      <c r="G25" s="55">
        <v>25650</v>
      </c>
      <c r="H25" s="56"/>
    </row>
    <row r="26" spans="1:9" x14ac:dyDescent="0.2">
      <c r="A26" s="56" t="s">
        <v>93</v>
      </c>
      <c r="B26" s="56" t="s">
        <v>21</v>
      </c>
      <c r="C26" s="56" t="s">
        <v>52</v>
      </c>
      <c r="D26" s="56" t="s">
        <v>70</v>
      </c>
      <c r="E26" s="56">
        <v>0</v>
      </c>
      <c r="F26" s="56">
        <v>291</v>
      </c>
      <c r="G26" s="56">
        <v>320</v>
      </c>
      <c r="H26" s="56"/>
    </row>
    <row r="27" spans="1:9" x14ac:dyDescent="0.2">
      <c r="A27" s="56" t="s">
        <v>93</v>
      </c>
      <c r="B27" s="56" t="s">
        <v>21</v>
      </c>
      <c r="C27" s="56" t="s">
        <v>52</v>
      </c>
      <c r="D27" s="56" t="s">
        <v>71</v>
      </c>
      <c r="E27" s="56">
        <v>162</v>
      </c>
      <c r="F27" s="56">
        <v>67</v>
      </c>
      <c r="G27" s="55">
        <v>14950</v>
      </c>
      <c r="H27" s="56"/>
    </row>
    <row r="28" spans="1:9" x14ac:dyDescent="0.2">
      <c r="A28" s="56" t="s">
        <v>93</v>
      </c>
      <c r="B28" s="56" t="s">
        <v>21</v>
      </c>
      <c r="C28" s="56" t="s">
        <v>52</v>
      </c>
      <c r="D28" s="56" t="s">
        <v>72</v>
      </c>
      <c r="E28" s="55">
        <v>1394</v>
      </c>
      <c r="F28" s="55">
        <v>4640</v>
      </c>
      <c r="G28" s="55">
        <v>60806</v>
      </c>
      <c r="H28" s="56">
        <f>SUM(E24:G28)</f>
        <v>176160</v>
      </c>
      <c r="I28" s="99" t="s">
        <v>52</v>
      </c>
    </row>
    <row r="29" spans="1:9" x14ac:dyDescent="0.2">
      <c r="A29" s="86" t="s">
        <v>93</v>
      </c>
      <c r="B29" s="86" t="s">
        <v>21</v>
      </c>
      <c r="C29" s="86" t="s">
        <v>54</v>
      </c>
      <c r="D29" s="86" t="s">
        <v>65</v>
      </c>
      <c r="E29" s="86">
        <v>235</v>
      </c>
      <c r="F29" s="86">
        <v>0</v>
      </c>
      <c r="G29" s="86">
        <v>0</v>
      </c>
      <c r="H29" s="86"/>
    </row>
    <row r="30" spans="1:9" x14ac:dyDescent="0.2">
      <c r="A30" s="86" t="s">
        <v>93</v>
      </c>
      <c r="B30" s="86" t="s">
        <v>21</v>
      </c>
      <c r="C30" s="86" t="s">
        <v>54</v>
      </c>
      <c r="D30" s="86" t="s">
        <v>104</v>
      </c>
      <c r="E30" s="86">
        <v>0</v>
      </c>
      <c r="F30" s="86">
        <v>2</v>
      </c>
      <c r="G30" s="86">
        <v>77</v>
      </c>
      <c r="H30" s="86"/>
    </row>
    <row r="31" spans="1:9" x14ac:dyDescent="0.2">
      <c r="A31" s="86" t="s">
        <v>93</v>
      </c>
      <c r="B31" s="86" t="s">
        <v>21</v>
      </c>
      <c r="C31" s="86" t="s">
        <v>54</v>
      </c>
      <c r="D31" s="86" t="s">
        <v>72</v>
      </c>
      <c r="E31" s="86">
        <v>169</v>
      </c>
      <c r="F31" s="87">
        <v>1062</v>
      </c>
      <c r="G31" s="87">
        <v>4455</v>
      </c>
      <c r="H31" s="86"/>
    </row>
    <row r="32" spans="1:9" x14ac:dyDescent="0.2">
      <c r="A32" s="86" t="s">
        <v>93</v>
      </c>
      <c r="B32" s="86" t="s">
        <v>21</v>
      </c>
      <c r="C32" s="86" t="s">
        <v>55</v>
      </c>
      <c r="D32" s="86" t="s">
        <v>66</v>
      </c>
      <c r="E32" s="86">
        <v>669</v>
      </c>
      <c r="F32" s="86">
        <v>332</v>
      </c>
      <c r="G32" s="87">
        <v>11325</v>
      </c>
      <c r="H32" s="86"/>
    </row>
    <row r="33" spans="1:9" x14ac:dyDescent="0.2">
      <c r="A33" s="86" t="s">
        <v>93</v>
      </c>
      <c r="B33" s="86" t="s">
        <v>21</v>
      </c>
      <c r="C33" s="86" t="s">
        <v>55</v>
      </c>
      <c r="D33" s="86" t="s">
        <v>68</v>
      </c>
      <c r="E33" s="86">
        <v>846</v>
      </c>
      <c r="F33" s="87">
        <v>4564</v>
      </c>
      <c r="G33" s="87">
        <v>18084</v>
      </c>
      <c r="H33" s="86"/>
    </row>
    <row r="34" spans="1:9" x14ac:dyDescent="0.2">
      <c r="A34" s="86" t="s">
        <v>93</v>
      </c>
      <c r="B34" s="86" t="s">
        <v>21</v>
      </c>
      <c r="C34" s="86" t="s">
        <v>55</v>
      </c>
      <c r="D34" s="86" t="s">
        <v>69</v>
      </c>
      <c r="E34" s="86">
        <v>0</v>
      </c>
      <c r="F34" s="86">
        <v>745</v>
      </c>
      <c r="G34" s="87">
        <v>2837</v>
      </c>
      <c r="H34" s="86"/>
    </row>
    <row r="35" spans="1:9" x14ac:dyDescent="0.2">
      <c r="A35" s="86" t="s">
        <v>93</v>
      </c>
      <c r="B35" s="86" t="s">
        <v>21</v>
      </c>
      <c r="C35" s="86" t="s">
        <v>55</v>
      </c>
      <c r="D35" s="86" t="s">
        <v>72</v>
      </c>
      <c r="E35" s="86">
        <v>642</v>
      </c>
      <c r="F35" s="87">
        <v>2793</v>
      </c>
      <c r="G35" s="87">
        <v>20821</v>
      </c>
      <c r="H35" s="87">
        <f>SUM(E23:G23)+SUM(E29:G35)</f>
        <v>154206</v>
      </c>
      <c r="I35" s="86" t="s">
        <v>85</v>
      </c>
    </row>
    <row r="36" spans="1:9" x14ac:dyDescent="0.2">
      <c r="A36" s="57" t="s">
        <v>93</v>
      </c>
      <c r="B36" s="57" t="s">
        <v>43</v>
      </c>
      <c r="C36" s="57" t="s">
        <v>21</v>
      </c>
      <c r="D36" s="57" t="s">
        <v>21</v>
      </c>
      <c r="E36" s="54">
        <v>8400</v>
      </c>
      <c r="F36" s="54">
        <v>26571</v>
      </c>
      <c r="G36" s="54">
        <v>58548</v>
      </c>
      <c r="H36" s="57"/>
    </row>
    <row r="37" spans="1:9" x14ac:dyDescent="0.2">
      <c r="A37" s="57" t="s">
        <v>93</v>
      </c>
      <c r="B37" s="57" t="s">
        <v>43</v>
      </c>
      <c r="C37" s="57" t="s">
        <v>54</v>
      </c>
      <c r="D37" s="57" t="s">
        <v>65</v>
      </c>
      <c r="E37" s="57">
        <v>0</v>
      </c>
      <c r="F37" s="57">
        <v>0</v>
      </c>
      <c r="G37" s="57">
        <v>610</v>
      </c>
      <c r="H37" s="57"/>
    </row>
    <row r="38" spans="1:9" x14ac:dyDescent="0.2">
      <c r="A38" s="57" t="s">
        <v>93</v>
      </c>
      <c r="B38" s="57" t="s">
        <v>44</v>
      </c>
      <c r="C38" s="57" t="s">
        <v>21</v>
      </c>
      <c r="D38" s="57" t="s">
        <v>21</v>
      </c>
      <c r="E38" s="54">
        <v>1299</v>
      </c>
      <c r="F38" s="57">
        <v>542</v>
      </c>
      <c r="G38" s="54">
        <v>8257</v>
      </c>
      <c r="H38" s="57"/>
    </row>
    <row r="39" spans="1:9" x14ac:dyDescent="0.2">
      <c r="A39" s="57" t="s">
        <v>93</v>
      </c>
      <c r="B39" s="57" t="s">
        <v>44</v>
      </c>
      <c r="C39" s="57" t="s">
        <v>95</v>
      </c>
      <c r="D39" s="57" t="s">
        <v>63</v>
      </c>
      <c r="E39" s="57">
        <v>0</v>
      </c>
      <c r="F39" s="57">
        <v>0</v>
      </c>
      <c r="G39" s="57">
        <v>48</v>
      </c>
      <c r="H39" s="57"/>
    </row>
    <row r="40" spans="1:9" x14ac:dyDescent="0.2">
      <c r="A40" s="57" t="s">
        <v>93</v>
      </c>
      <c r="B40" s="57" t="s">
        <v>45</v>
      </c>
      <c r="C40" s="57" t="s">
        <v>21</v>
      </c>
      <c r="D40" s="57" t="s">
        <v>21</v>
      </c>
      <c r="E40" s="54">
        <v>5105</v>
      </c>
      <c r="F40" s="54">
        <v>15485</v>
      </c>
      <c r="G40" s="54">
        <v>120658</v>
      </c>
      <c r="H40" s="57"/>
    </row>
    <row r="41" spans="1:9" x14ac:dyDescent="0.2">
      <c r="A41" s="57" t="s">
        <v>93</v>
      </c>
      <c r="B41" s="57" t="s">
        <v>46</v>
      </c>
      <c r="C41" s="57" t="s">
        <v>21</v>
      </c>
      <c r="D41" s="57" t="s">
        <v>21</v>
      </c>
      <c r="E41" s="54">
        <v>2878</v>
      </c>
      <c r="F41" s="54">
        <v>3914</v>
      </c>
      <c r="G41" s="54">
        <v>33816</v>
      </c>
      <c r="H41" s="57"/>
    </row>
    <row r="42" spans="1:9" x14ac:dyDescent="0.2">
      <c r="A42" s="57" t="s">
        <v>93</v>
      </c>
      <c r="B42" s="57" t="s">
        <v>105</v>
      </c>
      <c r="C42" s="57" t="s">
        <v>21</v>
      </c>
      <c r="D42" s="57" t="s">
        <v>21</v>
      </c>
      <c r="E42" s="57">
        <v>193</v>
      </c>
      <c r="F42" s="54">
        <v>3026</v>
      </c>
      <c r="G42" s="54">
        <v>8784</v>
      </c>
      <c r="H42" s="57"/>
    </row>
    <row r="43" spans="1:9" x14ac:dyDescent="0.2">
      <c r="A43" s="57" t="s">
        <v>93</v>
      </c>
      <c r="B43" s="57" t="s">
        <v>105</v>
      </c>
      <c r="C43" s="57" t="s">
        <v>52</v>
      </c>
      <c r="D43" s="57" t="s">
        <v>60</v>
      </c>
      <c r="E43" s="57">
        <v>149</v>
      </c>
      <c r="F43" s="57">
        <v>0</v>
      </c>
      <c r="G43" s="54">
        <v>1570</v>
      </c>
      <c r="H43" s="57"/>
    </row>
    <row r="44" spans="1:9" x14ac:dyDescent="0.2">
      <c r="A44" s="57" t="s">
        <v>93</v>
      </c>
      <c r="B44" s="57" t="s">
        <v>47</v>
      </c>
      <c r="C44" s="57" t="s">
        <v>21</v>
      </c>
      <c r="D44" s="57" t="s">
        <v>21</v>
      </c>
      <c r="E44" s="57">
        <v>0</v>
      </c>
      <c r="F44" s="57">
        <v>356</v>
      </c>
      <c r="G44" s="54">
        <v>3076</v>
      </c>
      <c r="H44" s="57"/>
    </row>
    <row r="45" spans="1:9" x14ac:dyDescent="0.2">
      <c r="A45" s="57" t="s">
        <v>93</v>
      </c>
      <c r="B45" s="57" t="s">
        <v>48</v>
      </c>
      <c r="C45" s="57" t="s">
        <v>21</v>
      </c>
      <c r="D45" s="57" t="s">
        <v>21</v>
      </c>
      <c r="E45" s="54">
        <v>2562</v>
      </c>
      <c r="F45" s="54">
        <v>2886</v>
      </c>
      <c r="G45" s="54">
        <v>44480</v>
      </c>
      <c r="H45" s="57"/>
    </row>
    <row r="46" spans="1:9" x14ac:dyDescent="0.2">
      <c r="A46" s="57" t="s">
        <v>93</v>
      </c>
      <c r="B46" s="57" t="s">
        <v>49</v>
      </c>
      <c r="C46" s="57" t="s">
        <v>21</v>
      </c>
      <c r="D46" s="57" t="s">
        <v>21</v>
      </c>
      <c r="E46" s="57">
        <v>0</v>
      </c>
      <c r="F46" s="57">
        <v>0</v>
      </c>
      <c r="G46" s="57">
        <v>0</v>
      </c>
      <c r="H46" s="57"/>
    </row>
    <row r="47" spans="1:9" x14ac:dyDescent="0.2">
      <c r="A47" s="57" t="s">
        <v>93</v>
      </c>
      <c r="B47" s="57" t="s">
        <v>50</v>
      </c>
      <c r="C47" s="57" t="s">
        <v>21</v>
      </c>
      <c r="D47" s="57" t="s">
        <v>21</v>
      </c>
      <c r="E47" s="54">
        <v>3369</v>
      </c>
      <c r="F47" s="54">
        <v>13403</v>
      </c>
      <c r="G47" s="54">
        <v>37335</v>
      </c>
      <c r="H47" s="57"/>
    </row>
    <row r="48" spans="1:9" x14ac:dyDescent="0.2">
      <c r="A48" s="57" t="s">
        <v>93</v>
      </c>
      <c r="B48" s="57" t="s">
        <v>50</v>
      </c>
      <c r="C48" s="57" t="s">
        <v>95</v>
      </c>
      <c r="D48" s="57" t="s">
        <v>63</v>
      </c>
      <c r="E48" s="57">
        <v>0</v>
      </c>
      <c r="F48" s="57">
        <v>0</v>
      </c>
      <c r="G48" s="57">
        <v>0</v>
      </c>
      <c r="H48" s="57"/>
    </row>
    <row r="49" spans="1:9" x14ac:dyDescent="0.2">
      <c r="A49" s="57" t="s">
        <v>93</v>
      </c>
      <c r="B49" s="57" t="s">
        <v>50</v>
      </c>
      <c r="C49" s="57" t="s">
        <v>54</v>
      </c>
      <c r="D49" s="57" t="s">
        <v>65</v>
      </c>
      <c r="E49" s="57">
        <v>0</v>
      </c>
      <c r="F49" s="57">
        <v>0</v>
      </c>
      <c r="G49" s="57">
        <v>39</v>
      </c>
      <c r="H49" s="57"/>
    </row>
    <row r="50" spans="1:9" x14ac:dyDescent="0.2">
      <c r="A50" s="57" t="s">
        <v>93</v>
      </c>
      <c r="B50" s="57" t="s">
        <v>50</v>
      </c>
      <c r="C50" s="57" t="s">
        <v>55</v>
      </c>
      <c r="D50" s="57" t="s">
        <v>68</v>
      </c>
      <c r="E50" s="57">
        <v>256</v>
      </c>
      <c r="F50" s="57">
        <v>0</v>
      </c>
      <c r="G50" s="57">
        <v>323</v>
      </c>
      <c r="H50" s="57"/>
    </row>
    <row r="51" spans="1:9" x14ac:dyDescent="0.2">
      <c r="A51" s="57" t="s">
        <v>93</v>
      </c>
      <c r="B51" s="57" t="s">
        <v>106</v>
      </c>
      <c r="C51" s="57" t="s">
        <v>21</v>
      </c>
      <c r="D51" s="57" t="s">
        <v>21</v>
      </c>
      <c r="E51" s="57">
        <v>0</v>
      </c>
      <c r="F51" s="57">
        <v>64</v>
      </c>
      <c r="G51" s="57">
        <v>590</v>
      </c>
      <c r="H51" s="57"/>
    </row>
    <row r="52" spans="1:9" x14ac:dyDescent="0.2">
      <c r="A52" s="57" t="s">
        <v>93</v>
      </c>
      <c r="B52" s="57" t="s">
        <v>106</v>
      </c>
      <c r="C52" s="57" t="s">
        <v>95</v>
      </c>
      <c r="D52" s="57" t="s">
        <v>63</v>
      </c>
      <c r="E52" s="57">
        <v>0</v>
      </c>
      <c r="F52" s="57">
        <v>47</v>
      </c>
      <c r="G52" s="57">
        <v>150</v>
      </c>
      <c r="H52" s="57"/>
    </row>
    <row r="53" spans="1:9" x14ac:dyDescent="0.2">
      <c r="A53" s="57" t="s">
        <v>93</v>
      </c>
      <c r="B53" s="57" t="s">
        <v>107</v>
      </c>
      <c r="C53" s="57" t="s">
        <v>21</v>
      </c>
      <c r="D53" s="57" t="s">
        <v>21</v>
      </c>
      <c r="E53" s="54">
        <v>1412</v>
      </c>
      <c r="F53" s="57">
        <v>3</v>
      </c>
      <c r="G53" s="57">
        <v>246</v>
      </c>
      <c r="H53" s="93">
        <f>SUM(E36:G53)</f>
        <v>410450</v>
      </c>
      <c r="I53" s="92" t="s">
        <v>108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L48"/>
  <sheetViews>
    <sheetView workbookViewId="0"/>
  </sheetViews>
  <sheetFormatPr defaultRowHeight="12.75" x14ac:dyDescent="0.2"/>
  <cols>
    <col min="1" max="1" width="14.42578125" customWidth="1"/>
    <col min="2" max="2" width="23.42578125" customWidth="1"/>
    <col min="3" max="3" width="20.85546875" customWidth="1"/>
    <col min="4" max="4" width="27.7109375" customWidth="1"/>
    <col min="5" max="5" width="9" customWidth="1"/>
    <col min="8" max="8" width="9.5703125" bestFit="1" customWidth="1"/>
    <col min="9" max="9" width="19.85546875" bestFit="1" customWidth="1"/>
    <col min="10" max="10" width="18.28515625" customWidth="1"/>
    <col min="11" max="11" width="14.140625" customWidth="1"/>
  </cols>
  <sheetData>
    <row r="1" spans="1:12" x14ac:dyDescent="0.2">
      <c r="A1" s="4" t="s">
        <v>77</v>
      </c>
      <c r="J1" t="s">
        <v>79</v>
      </c>
      <c r="K1" t="s">
        <v>80</v>
      </c>
    </row>
    <row r="2" spans="1:12" x14ac:dyDescent="0.2">
      <c r="A2" s="58" t="s">
        <v>73</v>
      </c>
      <c r="J2" t="s">
        <v>38</v>
      </c>
      <c r="K2" s="71">
        <f>SUM(D9:F9)</f>
        <v>710722</v>
      </c>
    </row>
    <row r="3" spans="1:12" x14ac:dyDescent="0.2">
      <c r="A3" s="58" t="s">
        <v>74</v>
      </c>
      <c r="J3" t="s">
        <v>39</v>
      </c>
      <c r="K3" s="71">
        <f>SUM(D10:F10)</f>
        <v>187585</v>
      </c>
    </row>
    <row r="4" spans="1:12" x14ac:dyDescent="0.2">
      <c r="A4" s="58" t="s">
        <v>92</v>
      </c>
      <c r="J4" t="s">
        <v>2</v>
      </c>
      <c r="K4" s="80">
        <f>F11</f>
        <v>86206</v>
      </c>
    </row>
    <row r="5" spans="1:12" x14ac:dyDescent="0.2">
      <c r="A5" s="58" t="s">
        <v>76</v>
      </c>
      <c r="J5" t="s">
        <v>3</v>
      </c>
      <c r="K5" s="71">
        <f>SUM(D8:F8)</f>
        <v>16570</v>
      </c>
    </row>
    <row r="6" spans="1:12" ht="13.5" thickBot="1" x14ac:dyDescent="0.25">
      <c r="A6" s="4"/>
      <c r="K6" s="72">
        <f>SUM(K2:K5)</f>
        <v>1001083</v>
      </c>
    </row>
    <row r="7" spans="1:12" x14ac:dyDescent="0.2">
      <c r="A7" s="59" t="s">
        <v>32</v>
      </c>
      <c r="B7" s="59" t="s">
        <v>33</v>
      </c>
      <c r="C7" s="59" t="s">
        <v>40</v>
      </c>
      <c r="D7" s="59" t="s">
        <v>34</v>
      </c>
      <c r="E7" s="59" t="s">
        <v>35</v>
      </c>
      <c r="F7" s="59" t="s">
        <v>103</v>
      </c>
      <c r="G7" s="4"/>
      <c r="H7" s="4"/>
      <c r="I7" s="4"/>
      <c r="J7" s="4"/>
      <c r="K7" s="63"/>
      <c r="L7" s="4"/>
    </row>
    <row r="8" spans="1:12" x14ac:dyDescent="0.2">
      <c r="A8" s="59" t="s">
        <v>93</v>
      </c>
      <c r="B8" s="60" t="s">
        <v>38</v>
      </c>
      <c r="C8" s="60" t="s">
        <v>3</v>
      </c>
      <c r="D8" s="61">
        <v>0</v>
      </c>
      <c r="E8" s="61">
        <v>867</v>
      </c>
      <c r="F8" s="61">
        <v>15703</v>
      </c>
      <c r="G8" s="84"/>
      <c r="J8" t="s">
        <v>42</v>
      </c>
      <c r="K8" s="73">
        <f>H48/K6</f>
        <v>0.44503902273837437</v>
      </c>
    </row>
    <row r="9" spans="1:12" x14ac:dyDescent="0.2">
      <c r="A9" s="59" t="s">
        <v>93</v>
      </c>
      <c r="B9" s="60" t="s">
        <v>38</v>
      </c>
      <c r="C9" s="60" t="s">
        <v>41</v>
      </c>
      <c r="D9" s="61">
        <v>146826</v>
      </c>
      <c r="E9" s="61">
        <v>47534</v>
      </c>
      <c r="F9" s="61">
        <v>516362</v>
      </c>
      <c r="G9" s="84"/>
      <c r="J9" t="s">
        <v>78</v>
      </c>
      <c r="K9" s="73">
        <f>H35/K6</f>
        <v>0.2038332485917751</v>
      </c>
    </row>
    <row r="10" spans="1:12" x14ac:dyDescent="0.2">
      <c r="A10" s="59" t="s">
        <v>93</v>
      </c>
      <c r="B10" s="60" t="s">
        <v>39</v>
      </c>
      <c r="C10" s="60" t="s">
        <v>41</v>
      </c>
      <c r="D10" s="61">
        <v>31398</v>
      </c>
      <c r="E10" s="61">
        <v>11859</v>
      </c>
      <c r="F10" s="61">
        <v>144328</v>
      </c>
      <c r="G10" s="84"/>
      <c r="J10" t="s">
        <v>81</v>
      </c>
      <c r="K10" s="73">
        <f>H27/K6</f>
        <v>0.16912383888249027</v>
      </c>
    </row>
    <row r="11" spans="1:12" x14ac:dyDescent="0.2">
      <c r="A11" s="77" t="s">
        <v>93</v>
      </c>
      <c r="B11" s="78" t="s">
        <v>94</v>
      </c>
      <c r="C11" s="78"/>
      <c r="D11" s="79"/>
      <c r="E11" s="79"/>
      <c r="F11" s="79">
        <v>86206</v>
      </c>
      <c r="G11" s="84"/>
      <c r="K11" s="85">
        <f>SUM(K8:K10)</f>
        <v>0.81799611021263974</v>
      </c>
    </row>
    <row r="12" spans="1:12" x14ac:dyDescent="0.2">
      <c r="A12" s="4"/>
      <c r="D12" s="53"/>
      <c r="E12" s="53"/>
      <c r="F12" s="53"/>
      <c r="G12" s="84"/>
    </row>
    <row r="13" spans="1:12" x14ac:dyDescent="0.2">
      <c r="A13" s="4" t="s">
        <v>82</v>
      </c>
      <c r="J13" s="74"/>
    </row>
    <row r="14" spans="1:12" x14ac:dyDescent="0.2">
      <c r="A14" s="58" t="s">
        <v>73</v>
      </c>
    </row>
    <row r="15" spans="1:12" x14ac:dyDescent="0.2">
      <c r="A15" s="58" t="s">
        <v>83</v>
      </c>
    </row>
    <row r="16" spans="1:12" x14ac:dyDescent="0.2">
      <c r="A16" s="58" t="s">
        <v>92</v>
      </c>
    </row>
    <row r="17" spans="1:9" x14ac:dyDescent="0.2">
      <c r="A17" s="58" t="s">
        <v>76</v>
      </c>
    </row>
    <row r="18" spans="1:9" x14ac:dyDescent="0.2">
      <c r="A18" s="4"/>
    </row>
    <row r="19" spans="1:9" x14ac:dyDescent="0.2">
      <c r="A19" t="s">
        <v>32</v>
      </c>
      <c r="B19" t="s">
        <v>42</v>
      </c>
      <c r="C19" t="s">
        <v>51</v>
      </c>
      <c r="D19" t="s">
        <v>57</v>
      </c>
      <c r="E19" t="s">
        <v>34</v>
      </c>
      <c r="F19" t="s">
        <v>35</v>
      </c>
      <c r="G19" t="s">
        <v>103</v>
      </c>
    </row>
    <row r="20" spans="1:9" x14ac:dyDescent="0.2">
      <c r="A20" t="s">
        <v>93</v>
      </c>
      <c r="B20" t="s">
        <v>21</v>
      </c>
      <c r="C20" t="s">
        <v>21</v>
      </c>
      <c r="D20" t="s">
        <v>21</v>
      </c>
      <c r="E20" s="53">
        <v>26885</v>
      </c>
      <c r="F20" s="53">
        <v>12048</v>
      </c>
      <c r="G20" s="53">
        <v>57063</v>
      </c>
    </row>
    <row r="21" spans="1:9" x14ac:dyDescent="0.2">
      <c r="A21" t="s">
        <v>93</v>
      </c>
      <c r="B21" s="86" t="s">
        <v>21</v>
      </c>
      <c r="C21" s="86" t="s">
        <v>95</v>
      </c>
      <c r="D21" s="86" t="s">
        <v>63</v>
      </c>
      <c r="E21" s="87">
        <v>28397</v>
      </c>
      <c r="F21" s="87">
        <v>11687</v>
      </c>
      <c r="G21" s="87">
        <v>85206</v>
      </c>
      <c r="H21" s="86"/>
    </row>
    <row r="22" spans="1:9" x14ac:dyDescent="0.2">
      <c r="A22" t="s">
        <v>93</v>
      </c>
      <c r="B22" s="86" t="s">
        <v>21</v>
      </c>
      <c r="C22" s="86" t="s">
        <v>95</v>
      </c>
      <c r="D22" s="86" t="s">
        <v>72</v>
      </c>
      <c r="E22" s="87">
        <v>1590</v>
      </c>
      <c r="F22" s="86">
        <v>224</v>
      </c>
      <c r="G22" s="87">
        <v>5856</v>
      </c>
      <c r="H22" s="86"/>
    </row>
    <row r="23" spans="1:9" x14ac:dyDescent="0.2">
      <c r="A23" t="s">
        <v>93</v>
      </c>
      <c r="B23" t="s">
        <v>21</v>
      </c>
      <c r="C23" s="56" t="s">
        <v>52</v>
      </c>
      <c r="D23" s="56" t="s">
        <v>60</v>
      </c>
      <c r="E23" s="55">
        <v>8779</v>
      </c>
      <c r="F23" s="56">
        <v>665</v>
      </c>
      <c r="G23" s="55">
        <v>71725</v>
      </c>
      <c r="H23" s="56"/>
    </row>
    <row r="24" spans="1:9" x14ac:dyDescent="0.2">
      <c r="A24" t="s">
        <v>93</v>
      </c>
      <c r="B24" t="s">
        <v>21</v>
      </c>
      <c r="C24" s="56" t="s">
        <v>52</v>
      </c>
      <c r="D24" s="56" t="s">
        <v>62</v>
      </c>
      <c r="E24" s="56">
        <v>395</v>
      </c>
      <c r="F24" s="56">
        <v>0</v>
      </c>
      <c r="G24" s="55">
        <v>25459</v>
      </c>
      <c r="H24" s="56"/>
    </row>
    <row r="25" spans="1:9" x14ac:dyDescent="0.2">
      <c r="A25" t="s">
        <v>93</v>
      </c>
      <c r="B25" t="s">
        <v>21</v>
      </c>
      <c r="C25" s="56" t="s">
        <v>52</v>
      </c>
      <c r="D25" s="56" t="s">
        <v>70</v>
      </c>
      <c r="E25" s="56">
        <v>427</v>
      </c>
      <c r="F25" s="56">
        <v>0</v>
      </c>
      <c r="G25" s="55">
        <v>1017</v>
      </c>
      <c r="H25" s="56"/>
    </row>
    <row r="26" spans="1:9" x14ac:dyDescent="0.2">
      <c r="A26" t="s">
        <v>93</v>
      </c>
      <c r="B26" t="s">
        <v>21</v>
      </c>
      <c r="C26" s="56" t="s">
        <v>52</v>
      </c>
      <c r="D26" s="56" t="s">
        <v>71</v>
      </c>
      <c r="E26" s="56">
        <v>0</v>
      </c>
      <c r="F26" s="56">
        <v>0</v>
      </c>
      <c r="G26" s="55">
        <v>14711</v>
      </c>
      <c r="H26" s="56"/>
    </row>
    <row r="27" spans="1:9" x14ac:dyDescent="0.2">
      <c r="A27" t="s">
        <v>93</v>
      </c>
      <c r="B27" t="s">
        <v>21</v>
      </c>
      <c r="C27" s="56" t="s">
        <v>52</v>
      </c>
      <c r="D27" s="56" t="s">
        <v>72</v>
      </c>
      <c r="E27" s="55">
        <v>3259</v>
      </c>
      <c r="F27" s="55">
        <v>2077</v>
      </c>
      <c r="G27" s="55">
        <v>40793</v>
      </c>
      <c r="H27" s="89">
        <f>SUM(E23:G27)</f>
        <v>169307</v>
      </c>
      <c r="I27" s="89" t="s">
        <v>52</v>
      </c>
    </row>
    <row r="28" spans="1:9" x14ac:dyDescent="0.2">
      <c r="A28" t="s">
        <v>93</v>
      </c>
      <c r="B28" t="s">
        <v>21</v>
      </c>
      <c r="C28" s="86" t="s">
        <v>54</v>
      </c>
      <c r="D28" s="86" t="s">
        <v>65</v>
      </c>
      <c r="E28" s="86">
        <v>0</v>
      </c>
      <c r="F28" s="86">
        <v>0</v>
      </c>
      <c r="G28" s="86">
        <v>0</v>
      </c>
      <c r="H28" s="90"/>
      <c r="I28" s="58"/>
    </row>
    <row r="29" spans="1:9" x14ac:dyDescent="0.2">
      <c r="A29" t="s">
        <v>93</v>
      </c>
      <c r="B29" t="s">
        <v>21</v>
      </c>
      <c r="C29" s="86" t="s">
        <v>54</v>
      </c>
      <c r="D29" s="86" t="s">
        <v>104</v>
      </c>
      <c r="E29" s="86">
        <v>2</v>
      </c>
      <c r="F29" s="86">
        <v>0</v>
      </c>
      <c r="G29" s="86">
        <v>77</v>
      </c>
      <c r="H29" s="90"/>
      <c r="I29" s="58"/>
    </row>
    <row r="30" spans="1:9" x14ac:dyDescent="0.2">
      <c r="A30" t="s">
        <v>93</v>
      </c>
      <c r="B30" t="s">
        <v>21</v>
      </c>
      <c r="C30" s="86" t="s">
        <v>54</v>
      </c>
      <c r="D30" s="86" t="s">
        <v>72</v>
      </c>
      <c r="E30" s="87">
        <v>1964</v>
      </c>
      <c r="F30" s="86">
        <v>779</v>
      </c>
      <c r="G30" s="87">
        <v>10390</v>
      </c>
      <c r="H30" s="90"/>
      <c r="I30" s="58"/>
    </row>
    <row r="31" spans="1:9" x14ac:dyDescent="0.2">
      <c r="A31" t="s">
        <v>93</v>
      </c>
      <c r="B31" t="s">
        <v>21</v>
      </c>
      <c r="C31" s="86" t="s">
        <v>55</v>
      </c>
      <c r="D31" s="86" t="s">
        <v>66</v>
      </c>
      <c r="E31" s="86">
        <v>154</v>
      </c>
      <c r="F31" s="86">
        <v>495</v>
      </c>
      <c r="G31" s="87">
        <v>6773</v>
      </c>
      <c r="H31" s="90"/>
      <c r="I31" s="58"/>
    </row>
    <row r="32" spans="1:9" x14ac:dyDescent="0.2">
      <c r="A32" t="s">
        <v>93</v>
      </c>
      <c r="B32" t="s">
        <v>21</v>
      </c>
      <c r="C32" s="86" t="s">
        <v>55</v>
      </c>
      <c r="D32" s="86" t="s">
        <v>67</v>
      </c>
      <c r="E32" s="87">
        <v>2082</v>
      </c>
      <c r="F32" s="87">
        <v>1240</v>
      </c>
      <c r="G32" s="87">
        <v>6314</v>
      </c>
      <c r="H32" s="90"/>
      <c r="I32" s="58"/>
    </row>
    <row r="33" spans="1:10" x14ac:dyDescent="0.2">
      <c r="A33" t="s">
        <v>93</v>
      </c>
      <c r="B33" t="s">
        <v>21</v>
      </c>
      <c r="C33" s="86" t="s">
        <v>55</v>
      </c>
      <c r="D33" s="86" t="s">
        <v>68</v>
      </c>
      <c r="E33" s="87">
        <v>1580</v>
      </c>
      <c r="F33" s="87">
        <v>1018</v>
      </c>
      <c r="G33" s="87">
        <v>5381</v>
      </c>
      <c r="H33" s="90"/>
      <c r="I33" s="58"/>
    </row>
    <row r="34" spans="1:10" x14ac:dyDescent="0.2">
      <c r="A34" t="s">
        <v>93</v>
      </c>
      <c r="B34" t="s">
        <v>21</v>
      </c>
      <c r="C34" s="86" t="s">
        <v>55</v>
      </c>
      <c r="D34" s="86" t="s">
        <v>69</v>
      </c>
      <c r="E34" s="86">
        <v>728</v>
      </c>
      <c r="F34" s="86">
        <v>203</v>
      </c>
      <c r="G34" s="87">
        <v>3144</v>
      </c>
      <c r="H34" s="90"/>
      <c r="I34" s="58"/>
    </row>
    <row r="35" spans="1:10" x14ac:dyDescent="0.2">
      <c r="A35" t="s">
        <v>93</v>
      </c>
      <c r="B35" t="s">
        <v>21</v>
      </c>
      <c r="C35" s="86" t="s">
        <v>55</v>
      </c>
      <c r="D35" s="86" t="s">
        <v>72</v>
      </c>
      <c r="E35" s="87">
        <v>5722</v>
      </c>
      <c r="F35" s="87">
        <v>1416</v>
      </c>
      <c r="G35" s="87">
        <v>21632</v>
      </c>
      <c r="H35" s="91">
        <f>SUM(E21:G22)+SUM(E28:G35)</f>
        <v>204054</v>
      </c>
      <c r="I35" s="91" t="s">
        <v>78</v>
      </c>
    </row>
    <row r="36" spans="1:10" x14ac:dyDescent="0.2">
      <c r="A36" t="s">
        <v>93</v>
      </c>
      <c r="B36" s="57" t="s">
        <v>43</v>
      </c>
      <c r="C36" s="57" t="s">
        <v>21</v>
      </c>
      <c r="D36" s="57" t="s">
        <v>21</v>
      </c>
      <c r="E36" s="54">
        <v>33077</v>
      </c>
      <c r="F36" s="54">
        <v>7589</v>
      </c>
      <c r="G36" s="54">
        <v>65204</v>
      </c>
      <c r="H36" s="92"/>
      <c r="I36" s="58"/>
    </row>
    <row r="37" spans="1:10" x14ac:dyDescent="0.2">
      <c r="A37" t="s">
        <v>93</v>
      </c>
      <c r="B37" s="57" t="s">
        <v>43</v>
      </c>
      <c r="C37" s="57" t="s">
        <v>95</v>
      </c>
      <c r="D37" s="57" t="s">
        <v>63</v>
      </c>
      <c r="E37" s="57">
        <v>28</v>
      </c>
      <c r="F37" s="57">
        <v>0</v>
      </c>
      <c r="G37" s="57">
        <v>117</v>
      </c>
      <c r="H37" s="92"/>
      <c r="I37" s="58"/>
    </row>
    <row r="38" spans="1:10" x14ac:dyDescent="0.2">
      <c r="A38" t="s">
        <v>93</v>
      </c>
      <c r="B38" s="57" t="s">
        <v>43</v>
      </c>
      <c r="C38" s="57" t="s">
        <v>55</v>
      </c>
      <c r="D38" s="57" t="s">
        <v>68</v>
      </c>
      <c r="E38" s="57">
        <v>0</v>
      </c>
      <c r="F38" s="57">
        <v>0</v>
      </c>
      <c r="G38" s="54">
        <v>1121</v>
      </c>
      <c r="H38" s="92"/>
      <c r="I38" s="58"/>
    </row>
    <row r="39" spans="1:10" x14ac:dyDescent="0.2">
      <c r="A39" t="s">
        <v>93</v>
      </c>
      <c r="B39" s="57" t="s">
        <v>44</v>
      </c>
      <c r="C39" s="57" t="s">
        <v>21</v>
      </c>
      <c r="D39" s="57" t="s">
        <v>21</v>
      </c>
      <c r="E39" s="54">
        <v>12764</v>
      </c>
      <c r="F39" s="57">
        <v>23</v>
      </c>
      <c r="G39" s="54">
        <v>7149</v>
      </c>
      <c r="H39" s="92"/>
      <c r="I39" s="58"/>
    </row>
    <row r="40" spans="1:10" x14ac:dyDescent="0.2">
      <c r="A40" t="s">
        <v>93</v>
      </c>
      <c r="B40" s="57" t="s">
        <v>44</v>
      </c>
      <c r="C40" s="57" t="s">
        <v>95</v>
      </c>
      <c r="D40" s="57" t="s">
        <v>63</v>
      </c>
      <c r="E40" s="57">
        <v>0</v>
      </c>
      <c r="F40" s="57">
        <v>176</v>
      </c>
      <c r="G40" s="57">
        <v>18</v>
      </c>
      <c r="H40" s="92"/>
      <c r="I40" s="58"/>
    </row>
    <row r="41" spans="1:10" x14ac:dyDescent="0.2">
      <c r="A41" t="s">
        <v>93</v>
      </c>
      <c r="B41" s="57" t="s">
        <v>45</v>
      </c>
      <c r="C41" s="57" t="s">
        <v>21</v>
      </c>
      <c r="D41" s="57" t="s">
        <v>21</v>
      </c>
      <c r="E41" s="54">
        <v>16825</v>
      </c>
      <c r="F41" s="54">
        <v>6283</v>
      </c>
      <c r="G41" s="54">
        <v>115626</v>
      </c>
      <c r="H41" s="92"/>
      <c r="I41" s="58"/>
    </row>
    <row r="42" spans="1:10" x14ac:dyDescent="0.2">
      <c r="A42" t="s">
        <v>93</v>
      </c>
      <c r="B42" s="57" t="s">
        <v>45</v>
      </c>
      <c r="C42" s="57" t="s">
        <v>55</v>
      </c>
      <c r="D42" s="57" t="s">
        <v>68</v>
      </c>
      <c r="E42" s="57">
        <v>0</v>
      </c>
      <c r="F42" s="57">
        <v>151</v>
      </c>
      <c r="G42" s="57">
        <v>72</v>
      </c>
      <c r="H42" s="92"/>
      <c r="I42" s="58"/>
    </row>
    <row r="43" spans="1:10" x14ac:dyDescent="0.2">
      <c r="A43" t="s">
        <v>93</v>
      </c>
      <c r="B43" s="57" t="s">
        <v>46</v>
      </c>
      <c r="C43" s="57" t="s">
        <v>21</v>
      </c>
      <c r="D43" s="57" t="s">
        <v>21</v>
      </c>
      <c r="E43" s="54">
        <v>4675</v>
      </c>
      <c r="F43" s="54">
        <v>8073</v>
      </c>
      <c r="G43" s="54">
        <v>29693</v>
      </c>
      <c r="H43" s="92"/>
      <c r="I43" s="58"/>
    </row>
    <row r="44" spans="1:10" x14ac:dyDescent="0.2">
      <c r="A44" t="s">
        <v>93</v>
      </c>
      <c r="B44" s="57" t="s">
        <v>46</v>
      </c>
      <c r="C44" s="57" t="s">
        <v>95</v>
      </c>
      <c r="D44" s="57" t="s">
        <v>63</v>
      </c>
      <c r="E44" s="57">
        <v>0</v>
      </c>
      <c r="F44" s="57">
        <v>0</v>
      </c>
      <c r="G44" s="57">
        <v>785</v>
      </c>
      <c r="H44" s="92"/>
      <c r="I44" s="58"/>
    </row>
    <row r="45" spans="1:10" x14ac:dyDescent="0.2">
      <c r="A45" t="s">
        <v>93</v>
      </c>
      <c r="B45" s="57" t="s">
        <v>47</v>
      </c>
      <c r="C45" s="57" t="s">
        <v>21</v>
      </c>
      <c r="D45" s="57" t="s">
        <v>21</v>
      </c>
      <c r="E45" s="57">
        <v>214</v>
      </c>
      <c r="F45" s="57">
        <v>0</v>
      </c>
      <c r="G45" s="54">
        <v>2644</v>
      </c>
      <c r="H45" s="92"/>
      <c r="I45" s="58"/>
    </row>
    <row r="46" spans="1:10" x14ac:dyDescent="0.2">
      <c r="A46" t="s">
        <v>93</v>
      </c>
      <c r="B46" s="57" t="s">
        <v>48</v>
      </c>
      <c r="C46" s="57" t="s">
        <v>21</v>
      </c>
      <c r="D46" s="57" t="s">
        <v>21</v>
      </c>
      <c r="E46" s="54">
        <v>2964</v>
      </c>
      <c r="F46" s="54">
        <v>3658</v>
      </c>
      <c r="G46" s="54">
        <v>45777</v>
      </c>
      <c r="H46" s="92"/>
      <c r="I46" s="58"/>
    </row>
    <row r="47" spans="1:10" x14ac:dyDescent="0.2">
      <c r="A47" t="s">
        <v>93</v>
      </c>
      <c r="B47" s="57" t="s">
        <v>49</v>
      </c>
      <c r="C47" s="57" t="s">
        <v>21</v>
      </c>
      <c r="D47" s="57" t="s">
        <v>21</v>
      </c>
      <c r="E47" s="57">
        <v>0</v>
      </c>
      <c r="F47" s="57">
        <v>0</v>
      </c>
      <c r="G47" s="57">
        <v>0</v>
      </c>
      <c r="H47" s="92"/>
      <c r="I47" s="58"/>
    </row>
    <row r="48" spans="1:10" x14ac:dyDescent="0.2">
      <c r="A48" t="s">
        <v>93</v>
      </c>
      <c r="B48" s="57" t="s">
        <v>50</v>
      </c>
      <c r="C48" s="57" t="s">
        <v>21</v>
      </c>
      <c r="D48" s="57" t="s">
        <v>21</v>
      </c>
      <c r="E48" s="54">
        <v>25714</v>
      </c>
      <c r="F48" s="54">
        <v>2454</v>
      </c>
      <c r="G48" s="54">
        <v>52647</v>
      </c>
      <c r="H48" s="93">
        <f>SUM(E36:G48)</f>
        <v>445521</v>
      </c>
      <c r="I48" s="93" t="s">
        <v>42</v>
      </c>
      <c r="J48" s="88" t="s">
        <v>21</v>
      </c>
    </row>
  </sheetData>
  <phoneticPr fontId="3" type="noConversion"/>
  <pageMargins left="0.75" right="0.75" top="1" bottom="1" header="0.5" footer="0.5"/>
  <pageSetup paperSize="9" orientation="portrait" verticalDpi="1200" r:id="rId1"/>
  <headerFooter alignWithMargins="0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K45"/>
  <sheetViews>
    <sheetView workbookViewId="0"/>
  </sheetViews>
  <sheetFormatPr defaultRowHeight="12.75" x14ac:dyDescent="0.2"/>
  <cols>
    <col min="1" max="1" width="9.42578125" customWidth="1"/>
    <col min="2" max="2" width="26.85546875" bestFit="1" customWidth="1"/>
    <col min="3" max="3" width="19.5703125" bestFit="1" customWidth="1"/>
    <col min="4" max="4" width="27.42578125" bestFit="1" customWidth="1"/>
    <col min="5" max="5" width="8.85546875" bestFit="1" customWidth="1"/>
    <col min="6" max="7" width="10.5703125" bestFit="1" customWidth="1"/>
    <col min="8" max="8" width="7.5703125" bestFit="1" customWidth="1"/>
    <col min="9" max="9" width="19.5703125" bestFit="1" customWidth="1"/>
    <col min="10" max="10" width="19.85546875" bestFit="1" customWidth="1"/>
    <col min="11" max="11" width="8.7109375" bestFit="1" customWidth="1"/>
    <col min="13" max="13" width="26.85546875" bestFit="1" customWidth="1"/>
    <col min="14" max="14" width="15.42578125" bestFit="1" customWidth="1"/>
    <col min="15" max="15" width="30.140625" bestFit="1" customWidth="1"/>
    <col min="16" max="16" width="7.85546875" bestFit="1" customWidth="1"/>
    <col min="17" max="17" width="8.85546875" bestFit="1" customWidth="1"/>
    <col min="18" max="18" width="10.5703125" bestFit="1" customWidth="1"/>
  </cols>
  <sheetData>
    <row r="1" spans="1:11" x14ac:dyDescent="0.2">
      <c r="A1" s="4" t="s">
        <v>77</v>
      </c>
      <c r="J1" t="s">
        <v>79</v>
      </c>
      <c r="K1" t="s">
        <v>80</v>
      </c>
    </row>
    <row r="2" spans="1:11" x14ac:dyDescent="0.2">
      <c r="A2" s="58" t="s">
        <v>73</v>
      </c>
      <c r="J2" t="s">
        <v>38</v>
      </c>
      <c r="K2" s="71">
        <f>SUM(D9:F9)</f>
        <v>665927</v>
      </c>
    </row>
    <row r="3" spans="1:11" x14ac:dyDescent="0.2">
      <c r="A3" s="58" t="s">
        <v>74</v>
      </c>
      <c r="J3" t="s">
        <v>39</v>
      </c>
      <c r="K3" s="71">
        <f>SUM(D10:F10)</f>
        <v>174699</v>
      </c>
    </row>
    <row r="4" spans="1:11" x14ac:dyDescent="0.2">
      <c r="A4" s="58" t="s">
        <v>92</v>
      </c>
      <c r="J4" t="s">
        <v>2</v>
      </c>
      <c r="K4" s="80">
        <f>F11</f>
        <v>44732</v>
      </c>
    </row>
    <row r="5" spans="1:11" x14ac:dyDescent="0.2">
      <c r="A5" s="58" t="s">
        <v>76</v>
      </c>
      <c r="J5" t="s">
        <v>3</v>
      </c>
      <c r="K5" s="71">
        <f>SUM(D8:F8)</f>
        <v>23500</v>
      </c>
    </row>
    <row r="6" spans="1:11" ht="13.5" thickBot="1" x14ac:dyDescent="0.25">
      <c r="A6" s="4"/>
      <c r="K6" s="72">
        <f>SUM(K2:K5)</f>
        <v>908858</v>
      </c>
    </row>
    <row r="7" spans="1:11" s="4" customFormat="1" x14ac:dyDescent="0.2">
      <c r="A7" s="59" t="s">
        <v>32</v>
      </c>
      <c r="B7" s="59" t="s">
        <v>33</v>
      </c>
      <c r="C7" s="59" t="s">
        <v>40</v>
      </c>
      <c r="D7" s="59" t="s">
        <v>34</v>
      </c>
      <c r="E7" s="59" t="s">
        <v>35</v>
      </c>
      <c r="F7" s="59" t="s">
        <v>36</v>
      </c>
      <c r="K7" s="63"/>
    </row>
    <row r="8" spans="1:11" x14ac:dyDescent="0.2">
      <c r="A8" s="59" t="s">
        <v>93</v>
      </c>
      <c r="B8" s="60" t="s">
        <v>38</v>
      </c>
      <c r="C8" s="60" t="s">
        <v>3</v>
      </c>
      <c r="D8" s="61">
        <v>2491</v>
      </c>
      <c r="E8" s="61">
        <v>0</v>
      </c>
      <c r="F8" s="61">
        <v>21009</v>
      </c>
      <c r="G8" s="53"/>
      <c r="J8" t="s">
        <v>42</v>
      </c>
      <c r="K8" s="73">
        <f>H45/K6</f>
        <v>0.44633925211639219</v>
      </c>
    </row>
    <row r="9" spans="1:11" x14ac:dyDescent="0.2">
      <c r="A9" s="59" t="s">
        <v>93</v>
      </c>
      <c r="B9" s="60" t="s">
        <v>38</v>
      </c>
      <c r="C9" s="60" t="s">
        <v>41</v>
      </c>
      <c r="D9" s="61">
        <v>71643</v>
      </c>
      <c r="E9" s="61">
        <v>44612</v>
      </c>
      <c r="F9" s="61">
        <v>549672</v>
      </c>
      <c r="G9" s="53"/>
      <c r="J9" t="s">
        <v>78</v>
      </c>
      <c r="K9" s="73">
        <f>H35/K6</f>
        <v>0.23432373374058435</v>
      </c>
    </row>
    <row r="10" spans="1:11" x14ac:dyDescent="0.2">
      <c r="A10" s="59" t="s">
        <v>93</v>
      </c>
      <c r="B10" s="60" t="s">
        <v>39</v>
      </c>
      <c r="C10" s="60" t="s">
        <v>41</v>
      </c>
      <c r="D10" s="61">
        <v>14354</v>
      </c>
      <c r="E10" s="61">
        <v>4240</v>
      </c>
      <c r="F10" s="61">
        <v>156105</v>
      </c>
      <c r="G10" s="53"/>
      <c r="J10" t="s">
        <v>81</v>
      </c>
      <c r="K10" s="73">
        <f>H27/K6</f>
        <v>0.19546067702545392</v>
      </c>
    </row>
    <row r="11" spans="1:11" x14ac:dyDescent="0.2">
      <c r="A11" s="77" t="s">
        <v>93</v>
      </c>
      <c r="B11" s="78" t="s">
        <v>94</v>
      </c>
      <c r="C11" s="78"/>
      <c r="D11" s="79"/>
      <c r="E11" s="79"/>
      <c r="F11" s="79">
        <v>44732</v>
      </c>
      <c r="G11" s="53"/>
      <c r="K11" s="73"/>
    </row>
    <row r="12" spans="1:11" x14ac:dyDescent="0.2">
      <c r="A12" s="4"/>
    </row>
    <row r="13" spans="1:11" x14ac:dyDescent="0.2">
      <c r="A13" s="4" t="s">
        <v>82</v>
      </c>
      <c r="J13" s="74"/>
    </row>
    <row r="14" spans="1:11" x14ac:dyDescent="0.2">
      <c r="A14" s="58" t="s">
        <v>73</v>
      </c>
    </row>
    <row r="15" spans="1:11" x14ac:dyDescent="0.2">
      <c r="A15" s="58" t="s">
        <v>83</v>
      </c>
    </row>
    <row r="16" spans="1:11" x14ac:dyDescent="0.2">
      <c r="A16" s="58" t="s">
        <v>92</v>
      </c>
    </row>
    <row r="17" spans="1:9" x14ac:dyDescent="0.2">
      <c r="A17" s="58" t="s">
        <v>76</v>
      </c>
    </row>
    <row r="18" spans="1:9" x14ac:dyDescent="0.2">
      <c r="A18" s="4"/>
    </row>
    <row r="19" spans="1:9" s="4" customFormat="1" x14ac:dyDescent="0.2">
      <c r="A19" s="4" t="s">
        <v>32</v>
      </c>
      <c r="B19" s="4" t="s">
        <v>42</v>
      </c>
      <c r="C19" s="4" t="s">
        <v>51</v>
      </c>
      <c r="D19" s="4" t="s">
        <v>57</v>
      </c>
      <c r="E19" s="4" t="s">
        <v>34</v>
      </c>
      <c r="F19" s="4" t="s">
        <v>35</v>
      </c>
      <c r="G19" s="4" t="s">
        <v>36</v>
      </c>
    </row>
    <row r="20" spans="1:9" x14ac:dyDescent="0.2">
      <c r="A20" t="s">
        <v>93</v>
      </c>
      <c r="B20" t="s">
        <v>21</v>
      </c>
      <c r="C20" t="s">
        <v>21</v>
      </c>
      <c r="D20" t="s">
        <v>21</v>
      </c>
      <c r="E20" s="53">
        <v>19813</v>
      </c>
      <c r="F20" s="53">
        <v>3271</v>
      </c>
      <c r="G20" s="53">
        <v>44767</v>
      </c>
    </row>
    <row r="21" spans="1:9" x14ac:dyDescent="0.2">
      <c r="A21" t="s">
        <v>93</v>
      </c>
      <c r="B21" t="s">
        <v>21</v>
      </c>
      <c r="C21" s="81" t="s">
        <v>95</v>
      </c>
      <c r="D21" s="81" t="s">
        <v>63</v>
      </c>
      <c r="E21" s="82">
        <v>2787</v>
      </c>
      <c r="F21" s="82">
        <v>5004</v>
      </c>
      <c r="G21" s="82">
        <v>66866</v>
      </c>
    </row>
    <row r="22" spans="1:9" x14ac:dyDescent="0.2">
      <c r="A22" t="s">
        <v>93</v>
      </c>
      <c r="B22" t="s">
        <v>21</v>
      </c>
      <c r="C22" s="81" t="s">
        <v>95</v>
      </c>
      <c r="D22" s="81" t="s">
        <v>72</v>
      </c>
      <c r="E22" s="82">
        <v>2572</v>
      </c>
      <c r="F22" s="82">
        <v>3379</v>
      </c>
      <c r="G22" s="82">
        <v>18953</v>
      </c>
    </row>
    <row r="23" spans="1:9" x14ac:dyDescent="0.2">
      <c r="A23" t="s">
        <v>93</v>
      </c>
      <c r="B23" t="s">
        <v>21</v>
      </c>
      <c r="C23" s="57" t="s">
        <v>52</v>
      </c>
      <c r="D23" s="57" t="s">
        <v>60</v>
      </c>
      <c r="E23" s="54">
        <v>3823</v>
      </c>
      <c r="F23" s="57">
        <v>750</v>
      </c>
      <c r="G23" s="54">
        <v>68935</v>
      </c>
    </row>
    <row r="24" spans="1:9" x14ac:dyDescent="0.2">
      <c r="A24" t="s">
        <v>93</v>
      </c>
      <c r="B24" t="s">
        <v>21</v>
      </c>
      <c r="C24" s="57" t="s">
        <v>52</v>
      </c>
      <c r="D24" s="57" t="s">
        <v>62</v>
      </c>
      <c r="E24" s="57">
        <v>0</v>
      </c>
      <c r="F24" s="54">
        <v>1483</v>
      </c>
      <c r="G24" s="54">
        <v>31541</v>
      </c>
    </row>
    <row r="25" spans="1:9" x14ac:dyDescent="0.2">
      <c r="A25" t="s">
        <v>93</v>
      </c>
      <c r="B25" t="s">
        <v>21</v>
      </c>
      <c r="C25" s="57" t="s">
        <v>52</v>
      </c>
      <c r="D25" s="57" t="s">
        <v>70</v>
      </c>
      <c r="E25" s="57">
        <v>0</v>
      </c>
      <c r="F25" s="57">
        <v>0</v>
      </c>
      <c r="G25" s="54">
        <v>1051</v>
      </c>
    </row>
    <row r="26" spans="1:9" x14ac:dyDescent="0.2">
      <c r="A26" t="s">
        <v>93</v>
      </c>
      <c r="B26" t="s">
        <v>21</v>
      </c>
      <c r="C26" s="57" t="s">
        <v>52</v>
      </c>
      <c r="D26" s="57" t="s">
        <v>71</v>
      </c>
      <c r="E26" s="57">
        <v>160</v>
      </c>
      <c r="F26" s="57">
        <v>652</v>
      </c>
      <c r="G26" s="54">
        <v>18410</v>
      </c>
    </row>
    <row r="27" spans="1:9" x14ac:dyDescent="0.2">
      <c r="A27" t="s">
        <v>93</v>
      </c>
      <c r="B27" t="s">
        <v>21</v>
      </c>
      <c r="C27" s="57" t="s">
        <v>52</v>
      </c>
      <c r="D27" s="57" t="s">
        <v>72</v>
      </c>
      <c r="E27" s="54">
        <v>1801</v>
      </c>
      <c r="F27" s="57">
        <v>791</v>
      </c>
      <c r="G27" s="54">
        <v>48249</v>
      </c>
      <c r="H27" s="54">
        <f>SUM(C23:G27)</f>
        <v>177646</v>
      </c>
      <c r="I27" s="57" t="s">
        <v>52</v>
      </c>
    </row>
    <row r="28" spans="1:9" x14ac:dyDescent="0.2">
      <c r="A28" t="s">
        <v>93</v>
      </c>
      <c r="B28" t="s">
        <v>21</v>
      </c>
      <c r="C28" s="81" t="s">
        <v>54</v>
      </c>
      <c r="D28" s="81" t="s">
        <v>65</v>
      </c>
      <c r="E28" s="81">
        <v>0</v>
      </c>
      <c r="F28" s="81">
        <v>251</v>
      </c>
      <c r="G28" s="81">
        <v>0</v>
      </c>
    </row>
    <row r="29" spans="1:9" x14ac:dyDescent="0.2">
      <c r="A29" t="s">
        <v>93</v>
      </c>
      <c r="B29" t="s">
        <v>21</v>
      </c>
      <c r="C29" s="81" t="s">
        <v>54</v>
      </c>
      <c r="D29" s="81" t="s">
        <v>72</v>
      </c>
      <c r="E29" s="82">
        <v>12889</v>
      </c>
      <c r="F29" s="82">
        <v>2743</v>
      </c>
      <c r="G29" s="82">
        <v>29062</v>
      </c>
    </row>
    <row r="30" spans="1:9" x14ac:dyDescent="0.2">
      <c r="A30" t="s">
        <v>93</v>
      </c>
      <c r="B30" t="s">
        <v>21</v>
      </c>
      <c r="C30" s="81" t="s">
        <v>55</v>
      </c>
      <c r="D30" s="81" t="s">
        <v>66</v>
      </c>
      <c r="E30" s="81">
        <v>52</v>
      </c>
      <c r="F30" s="81">
        <v>0</v>
      </c>
      <c r="G30" s="81">
        <v>464</v>
      </c>
    </row>
    <row r="31" spans="1:9" x14ac:dyDescent="0.2">
      <c r="A31" t="s">
        <v>93</v>
      </c>
      <c r="B31" t="s">
        <v>21</v>
      </c>
      <c r="C31" s="81" t="s">
        <v>55</v>
      </c>
      <c r="D31" s="81" t="s">
        <v>67</v>
      </c>
      <c r="E31" s="82">
        <v>5448</v>
      </c>
      <c r="F31" s="82">
        <v>1711</v>
      </c>
      <c r="G31" s="82">
        <v>26087</v>
      </c>
    </row>
    <row r="32" spans="1:9" x14ac:dyDescent="0.2">
      <c r="A32" t="s">
        <v>93</v>
      </c>
      <c r="B32" t="s">
        <v>21</v>
      </c>
      <c r="C32" s="81" t="s">
        <v>55</v>
      </c>
      <c r="D32" s="81" t="s">
        <v>96</v>
      </c>
      <c r="E32" s="81">
        <v>425</v>
      </c>
      <c r="F32" s="81">
        <v>0</v>
      </c>
      <c r="G32" s="81">
        <v>646</v>
      </c>
    </row>
    <row r="33" spans="1:9" x14ac:dyDescent="0.2">
      <c r="A33" t="s">
        <v>93</v>
      </c>
      <c r="B33" t="s">
        <v>21</v>
      </c>
      <c r="C33" s="81" t="s">
        <v>55</v>
      </c>
      <c r="D33" s="81" t="s">
        <v>68</v>
      </c>
      <c r="E33" s="81">
        <v>191</v>
      </c>
      <c r="F33" s="81">
        <v>0</v>
      </c>
      <c r="G33" s="82">
        <v>3663</v>
      </c>
    </row>
    <row r="34" spans="1:9" x14ac:dyDescent="0.2">
      <c r="A34" t="s">
        <v>93</v>
      </c>
      <c r="B34" t="s">
        <v>21</v>
      </c>
      <c r="C34" s="81" t="s">
        <v>55</v>
      </c>
      <c r="D34" s="81" t="s">
        <v>69</v>
      </c>
      <c r="E34" s="81">
        <v>432</v>
      </c>
      <c r="F34" s="81">
        <v>109</v>
      </c>
      <c r="G34" s="82">
        <v>3408</v>
      </c>
    </row>
    <row r="35" spans="1:9" x14ac:dyDescent="0.2">
      <c r="A35" t="s">
        <v>93</v>
      </c>
      <c r="B35" t="s">
        <v>21</v>
      </c>
      <c r="C35" s="81" t="s">
        <v>55</v>
      </c>
      <c r="D35" s="81" t="s">
        <v>72</v>
      </c>
      <c r="E35" s="82">
        <v>1861</v>
      </c>
      <c r="F35" s="81">
        <v>362</v>
      </c>
      <c r="G35" s="82">
        <v>23602</v>
      </c>
      <c r="H35" s="82">
        <f>SUM(E21:G22)+SUM(E28:G35)</f>
        <v>212967</v>
      </c>
      <c r="I35" s="81" t="s">
        <v>78</v>
      </c>
    </row>
    <row r="36" spans="1:9" x14ac:dyDescent="0.2">
      <c r="A36" t="s">
        <v>93</v>
      </c>
      <c r="B36" t="s">
        <v>43</v>
      </c>
      <c r="C36" t="s">
        <v>21</v>
      </c>
      <c r="D36" t="s">
        <v>21</v>
      </c>
      <c r="E36" s="55">
        <v>10681</v>
      </c>
      <c r="F36" s="55">
        <v>12224</v>
      </c>
      <c r="G36" s="55">
        <v>67200</v>
      </c>
    </row>
    <row r="37" spans="1:9" x14ac:dyDescent="0.2">
      <c r="A37" t="s">
        <v>93</v>
      </c>
      <c r="B37" t="s">
        <v>43</v>
      </c>
      <c r="C37" t="s">
        <v>95</v>
      </c>
      <c r="D37" t="s">
        <v>63</v>
      </c>
      <c r="E37" s="56">
        <v>0</v>
      </c>
      <c r="F37" s="56">
        <v>0</v>
      </c>
      <c r="G37" s="56">
        <v>80</v>
      </c>
    </row>
    <row r="38" spans="1:9" x14ac:dyDescent="0.2">
      <c r="A38" t="s">
        <v>93</v>
      </c>
      <c r="B38" t="s">
        <v>43</v>
      </c>
      <c r="C38" t="s">
        <v>95</v>
      </c>
      <c r="D38" t="s">
        <v>72</v>
      </c>
      <c r="E38" s="56">
        <v>0</v>
      </c>
      <c r="F38" s="56">
        <v>0</v>
      </c>
      <c r="G38" s="56">
        <v>50</v>
      </c>
    </row>
    <row r="39" spans="1:9" x14ac:dyDescent="0.2">
      <c r="A39" t="s">
        <v>93</v>
      </c>
      <c r="B39" t="s">
        <v>44</v>
      </c>
      <c r="C39" t="s">
        <v>21</v>
      </c>
      <c r="D39" t="s">
        <v>21</v>
      </c>
      <c r="E39" s="56">
        <v>0</v>
      </c>
      <c r="F39" s="56">
        <v>158</v>
      </c>
      <c r="G39" s="55">
        <v>2044</v>
      </c>
    </row>
    <row r="40" spans="1:9" x14ac:dyDescent="0.2">
      <c r="A40" t="s">
        <v>93</v>
      </c>
      <c r="B40" t="s">
        <v>45</v>
      </c>
      <c r="C40" t="s">
        <v>21</v>
      </c>
      <c r="D40" t="s">
        <v>21</v>
      </c>
      <c r="E40" s="55">
        <v>6942</v>
      </c>
      <c r="F40" s="55">
        <v>6013</v>
      </c>
      <c r="G40" s="55">
        <v>117702</v>
      </c>
    </row>
    <row r="41" spans="1:9" x14ac:dyDescent="0.2">
      <c r="A41" t="s">
        <v>93</v>
      </c>
      <c r="B41" t="s">
        <v>46</v>
      </c>
      <c r="C41" t="s">
        <v>21</v>
      </c>
      <c r="D41" t="s">
        <v>21</v>
      </c>
      <c r="E41" s="55">
        <v>7843</v>
      </c>
      <c r="F41" s="55">
        <v>3361</v>
      </c>
      <c r="G41" s="55">
        <v>41512</v>
      </c>
    </row>
    <row r="42" spans="1:9" x14ac:dyDescent="0.2">
      <c r="A42" t="s">
        <v>93</v>
      </c>
      <c r="B42" t="s">
        <v>47</v>
      </c>
      <c r="C42" t="s">
        <v>21</v>
      </c>
      <c r="D42" t="s">
        <v>21</v>
      </c>
      <c r="E42" s="56">
        <v>0</v>
      </c>
      <c r="F42" s="56">
        <v>0</v>
      </c>
      <c r="G42" s="55">
        <v>3208</v>
      </c>
    </row>
    <row r="43" spans="1:9" x14ac:dyDescent="0.2">
      <c r="A43" t="s">
        <v>93</v>
      </c>
      <c r="B43" t="s">
        <v>48</v>
      </c>
      <c r="C43" t="s">
        <v>21</v>
      </c>
      <c r="D43" t="s">
        <v>21</v>
      </c>
      <c r="E43" s="55">
        <v>4075</v>
      </c>
      <c r="F43" s="55">
        <v>3989</v>
      </c>
      <c r="G43" s="55">
        <v>45463</v>
      </c>
    </row>
    <row r="44" spans="1:9" x14ac:dyDescent="0.2">
      <c r="A44" t="s">
        <v>93</v>
      </c>
      <c r="B44" t="s">
        <v>49</v>
      </c>
      <c r="C44" t="s">
        <v>21</v>
      </c>
      <c r="D44" t="s">
        <v>21</v>
      </c>
      <c r="E44" s="56">
        <v>0</v>
      </c>
      <c r="F44" s="56">
        <v>0</v>
      </c>
      <c r="G44" s="56">
        <v>0</v>
      </c>
    </row>
    <row r="45" spans="1:9" x14ac:dyDescent="0.2">
      <c r="A45" t="s">
        <v>93</v>
      </c>
      <c r="B45" t="s">
        <v>50</v>
      </c>
      <c r="C45" t="s">
        <v>21</v>
      </c>
      <c r="D45" t="s">
        <v>21</v>
      </c>
      <c r="E45" s="55">
        <v>6692</v>
      </c>
      <c r="F45" s="55">
        <v>2601</v>
      </c>
      <c r="G45" s="55">
        <v>63821</v>
      </c>
      <c r="H45" s="55">
        <f>SUM(E36:G45)</f>
        <v>405659</v>
      </c>
      <c r="I45" s="56" t="s">
        <v>84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K38"/>
  <sheetViews>
    <sheetView workbookViewId="0"/>
  </sheetViews>
  <sheetFormatPr defaultRowHeight="12.75" x14ac:dyDescent="0.2"/>
  <cols>
    <col min="1" max="1" width="9.42578125" customWidth="1"/>
    <col min="2" max="2" width="26.85546875" bestFit="1" customWidth="1"/>
    <col min="3" max="3" width="15.42578125" bestFit="1" customWidth="1"/>
    <col min="4" max="4" width="9.85546875" customWidth="1"/>
    <col min="5" max="5" width="8.85546875" bestFit="1" customWidth="1"/>
    <col min="6" max="7" width="10.5703125" bestFit="1" customWidth="1"/>
    <col min="8" max="8" width="7.5703125" bestFit="1" customWidth="1"/>
    <col min="9" max="9" width="19.5703125" bestFit="1" customWidth="1"/>
    <col min="10" max="10" width="19.85546875" bestFit="1" customWidth="1"/>
    <col min="11" max="11" width="8.7109375" bestFit="1" customWidth="1"/>
    <col min="13" max="13" width="26.85546875" bestFit="1" customWidth="1"/>
    <col min="14" max="14" width="15.42578125" bestFit="1" customWidth="1"/>
    <col min="15" max="15" width="30.140625" bestFit="1" customWidth="1"/>
    <col min="16" max="16" width="7.85546875" bestFit="1" customWidth="1"/>
    <col min="17" max="17" width="8.85546875" bestFit="1" customWidth="1"/>
    <col min="18" max="18" width="10.5703125" bestFit="1" customWidth="1"/>
  </cols>
  <sheetData>
    <row r="1" spans="1:11" x14ac:dyDescent="0.2">
      <c r="A1" s="4" t="s">
        <v>77</v>
      </c>
      <c r="J1" t="s">
        <v>79</v>
      </c>
      <c r="K1" t="s">
        <v>80</v>
      </c>
    </row>
    <row r="2" spans="1:11" x14ac:dyDescent="0.2">
      <c r="A2" s="58" t="s">
        <v>73</v>
      </c>
      <c r="J2" t="s">
        <v>38</v>
      </c>
      <c r="K2" s="71">
        <f>SUM(D9:F9)</f>
        <v>681216</v>
      </c>
    </row>
    <row r="3" spans="1:11" x14ac:dyDescent="0.2">
      <c r="A3" s="58" t="s">
        <v>74</v>
      </c>
      <c r="J3" t="s">
        <v>39</v>
      </c>
      <c r="K3" s="71">
        <f>SUM(D10:F10)</f>
        <v>191470</v>
      </c>
    </row>
    <row r="4" spans="1:11" x14ac:dyDescent="0.2">
      <c r="A4" s="58" t="s">
        <v>92</v>
      </c>
      <c r="J4" t="s">
        <v>2</v>
      </c>
      <c r="K4" s="76">
        <v>31648</v>
      </c>
    </row>
    <row r="5" spans="1:11" x14ac:dyDescent="0.2">
      <c r="A5" s="58" t="s">
        <v>76</v>
      </c>
      <c r="J5" t="s">
        <v>3</v>
      </c>
      <c r="K5" s="71">
        <f>SUM(D8:F8)</f>
        <v>21811</v>
      </c>
    </row>
    <row r="6" spans="1:11" ht="13.5" thickBot="1" x14ac:dyDescent="0.25">
      <c r="A6" s="4"/>
      <c r="K6" s="72">
        <f>SUM(K2:K5)</f>
        <v>926145</v>
      </c>
    </row>
    <row r="7" spans="1:11" s="4" customFormat="1" x14ac:dyDescent="0.2">
      <c r="A7" s="59" t="s">
        <v>32</v>
      </c>
      <c r="B7" s="59" t="s">
        <v>33</v>
      </c>
      <c r="C7" s="59" t="s">
        <v>40</v>
      </c>
      <c r="D7" s="59" t="s">
        <v>34</v>
      </c>
      <c r="E7" s="59" t="s">
        <v>35</v>
      </c>
      <c r="F7" s="59" t="s">
        <v>36</v>
      </c>
      <c r="K7" s="63"/>
    </row>
    <row r="8" spans="1:11" x14ac:dyDescent="0.2">
      <c r="A8" s="59" t="s">
        <v>37</v>
      </c>
      <c r="B8" s="60" t="s">
        <v>38</v>
      </c>
      <c r="C8" s="60" t="s">
        <v>3</v>
      </c>
      <c r="D8" s="61">
        <v>0</v>
      </c>
      <c r="E8" s="61">
        <v>0</v>
      </c>
      <c r="F8" s="61">
        <v>21811</v>
      </c>
      <c r="G8" s="53"/>
      <c r="J8" t="s">
        <v>42</v>
      </c>
      <c r="K8" s="73">
        <f>H38/K6</f>
        <v>0.43300455112320424</v>
      </c>
    </row>
    <row r="9" spans="1:11" x14ac:dyDescent="0.2">
      <c r="A9" s="59" t="s">
        <v>37</v>
      </c>
      <c r="B9" s="60" t="s">
        <v>38</v>
      </c>
      <c r="C9" s="60" t="s">
        <v>41</v>
      </c>
      <c r="D9" s="61">
        <v>57532</v>
      </c>
      <c r="E9" s="61">
        <v>122959</v>
      </c>
      <c r="F9" s="61">
        <v>500725</v>
      </c>
      <c r="G9" s="53"/>
      <c r="J9" t="s">
        <v>78</v>
      </c>
      <c r="K9" s="73">
        <f>H31/K6</f>
        <v>0.40569457266410769</v>
      </c>
    </row>
    <row r="10" spans="1:11" x14ac:dyDescent="0.2">
      <c r="A10" s="59" t="s">
        <v>37</v>
      </c>
      <c r="B10" s="60" t="s">
        <v>39</v>
      </c>
      <c r="C10" s="60" t="s">
        <v>41</v>
      </c>
      <c r="D10" s="61">
        <v>5225</v>
      </c>
      <c r="E10" s="61">
        <v>34608</v>
      </c>
      <c r="F10" s="61">
        <v>151637</v>
      </c>
      <c r="G10" s="53"/>
      <c r="J10" t="s">
        <v>81</v>
      </c>
      <c r="K10" s="73">
        <f>H24/K6</f>
        <v>7.973697423189674E-2</v>
      </c>
    </row>
    <row r="11" spans="1:11" x14ac:dyDescent="0.2">
      <c r="A11" s="4"/>
    </row>
    <row r="12" spans="1:11" x14ac:dyDescent="0.2">
      <c r="A12" s="4" t="s">
        <v>82</v>
      </c>
      <c r="J12" s="74"/>
    </row>
    <row r="13" spans="1:11" x14ac:dyDescent="0.2">
      <c r="A13" s="58" t="s">
        <v>73</v>
      </c>
    </row>
    <row r="14" spans="1:11" x14ac:dyDescent="0.2">
      <c r="A14" s="58" t="s">
        <v>83</v>
      </c>
    </row>
    <row r="15" spans="1:11" x14ac:dyDescent="0.2">
      <c r="A15" s="58" t="s">
        <v>92</v>
      </c>
    </row>
    <row r="16" spans="1:11" x14ac:dyDescent="0.2">
      <c r="A16" s="58" t="s">
        <v>76</v>
      </c>
    </row>
    <row r="17" spans="1:9" x14ac:dyDescent="0.2">
      <c r="A17" s="4"/>
    </row>
    <row r="18" spans="1:9" x14ac:dyDescent="0.2">
      <c r="A18" s="4" t="s">
        <v>32</v>
      </c>
      <c r="B18" s="4" t="s">
        <v>42</v>
      </c>
      <c r="C18" s="4" t="s">
        <v>51</v>
      </c>
      <c r="D18" s="4" t="s">
        <v>57</v>
      </c>
      <c r="E18" s="4" t="s">
        <v>34</v>
      </c>
      <c r="F18" s="4" t="s">
        <v>35</v>
      </c>
      <c r="G18" s="4" t="s">
        <v>36</v>
      </c>
    </row>
    <row r="19" spans="1:9" x14ac:dyDescent="0.2">
      <c r="A19" t="s">
        <v>37</v>
      </c>
      <c r="B19" t="s">
        <v>21</v>
      </c>
      <c r="C19" t="s">
        <v>21</v>
      </c>
      <c r="D19" t="s">
        <v>21</v>
      </c>
      <c r="E19" s="53">
        <v>7183</v>
      </c>
      <c r="F19" s="53">
        <v>12833</v>
      </c>
      <c r="G19" s="53">
        <v>23871</v>
      </c>
    </row>
    <row r="20" spans="1:9" x14ac:dyDescent="0.2">
      <c r="A20" t="s">
        <v>37</v>
      </c>
      <c r="B20" t="s">
        <v>21</v>
      </c>
      <c r="C20" t="s">
        <v>52</v>
      </c>
      <c r="D20" t="s">
        <v>60</v>
      </c>
      <c r="E20" s="57">
        <v>341</v>
      </c>
      <c r="F20" s="57">
        <v>0</v>
      </c>
      <c r="G20" s="54">
        <v>20007</v>
      </c>
    </row>
    <row r="21" spans="1:9" x14ac:dyDescent="0.2">
      <c r="A21" t="s">
        <v>37</v>
      </c>
      <c r="B21" t="s">
        <v>21</v>
      </c>
      <c r="C21" t="s">
        <v>52</v>
      </c>
      <c r="D21" t="s">
        <v>62</v>
      </c>
      <c r="E21" s="57">
        <v>433</v>
      </c>
      <c r="F21" s="57">
        <v>310</v>
      </c>
      <c r="G21" s="54">
        <v>22810</v>
      </c>
    </row>
    <row r="22" spans="1:9" x14ac:dyDescent="0.2">
      <c r="A22" t="s">
        <v>37</v>
      </c>
      <c r="B22" t="s">
        <v>21</v>
      </c>
      <c r="C22" t="s">
        <v>52</v>
      </c>
      <c r="D22" t="s">
        <v>70</v>
      </c>
      <c r="E22" s="57">
        <v>0</v>
      </c>
      <c r="F22" s="57">
        <v>141</v>
      </c>
      <c r="G22" s="57">
        <v>223</v>
      </c>
    </row>
    <row r="23" spans="1:9" x14ac:dyDescent="0.2">
      <c r="A23" t="s">
        <v>37</v>
      </c>
      <c r="B23" t="s">
        <v>21</v>
      </c>
      <c r="C23" t="s">
        <v>52</v>
      </c>
      <c r="D23" t="s">
        <v>71</v>
      </c>
      <c r="E23" s="57">
        <v>628</v>
      </c>
      <c r="F23" s="57">
        <v>0</v>
      </c>
      <c r="G23" s="54">
        <v>12854</v>
      </c>
    </row>
    <row r="24" spans="1:9" x14ac:dyDescent="0.2">
      <c r="A24" t="s">
        <v>37</v>
      </c>
      <c r="B24" t="s">
        <v>21</v>
      </c>
      <c r="C24" t="s">
        <v>52</v>
      </c>
      <c r="D24" t="s">
        <v>72</v>
      </c>
      <c r="E24" s="57">
        <v>600</v>
      </c>
      <c r="F24" s="57">
        <v>0</v>
      </c>
      <c r="G24" s="54">
        <v>15501</v>
      </c>
      <c r="H24" s="57">
        <f>SUM(E20:G24)</f>
        <v>73848</v>
      </c>
      <c r="I24" s="57" t="s">
        <v>52</v>
      </c>
    </row>
    <row r="25" spans="1:9" x14ac:dyDescent="0.2">
      <c r="A25" t="s">
        <v>37</v>
      </c>
      <c r="B25" t="s">
        <v>21</v>
      </c>
      <c r="C25" t="s">
        <v>91</v>
      </c>
      <c r="D25" t="s">
        <v>63</v>
      </c>
      <c r="E25" s="68">
        <v>11323</v>
      </c>
      <c r="F25" s="68">
        <v>40136</v>
      </c>
      <c r="G25" s="68">
        <v>213774</v>
      </c>
    </row>
    <row r="26" spans="1:9" x14ac:dyDescent="0.2">
      <c r="A26" t="s">
        <v>37</v>
      </c>
      <c r="B26" t="s">
        <v>21</v>
      </c>
      <c r="C26" t="s">
        <v>91</v>
      </c>
      <c r="D26" t="s">
        <v>72</v>
      </c>
      <c r="E26" s="69">
        <v>557</v>
      </c>
      <c r="F26" s="68">
        <v>4300</v>
      </c>
      <c r="G26" s="68">
        <v>3548</v>
      </c>
    </row>
    <row r="27" spans="1:9" x14ac:dyDescent="0.2">
      <c r="A27" t="s">
        <v>37</v>
      </c>
      <c r="B27" t="s">
        <v>21</v>
      </c>
      <c r="C27" t="s">
        <v>54</v>
      </c>
      <c r="D27" t="s">
        <v>87</v>
      </c>
      <c r="E27" s="69">
        <v>0</v>
      </c>
      <c r="F27" s="69">
        <v>0</v>
      </c>
      <c r="G27" s="69">
        <v>847</v>
      </c>
    </row>
    <row r="28" spans="1:9" x14ac:dyDescent="0.2">
      <c r="A28" t="s">
        <v>37</v>
      </c>
      <c r="B28" t="s">
        <v>21</v>
      </c>
      <c r="C28" t="s">
        <v>54</v>
      </c>
      <c r="D28" t="s">
        <v>72</v>
      </c>
      <c r="E28" s="68">
        <v>8795</v>
      </c>
      <c r="F28" s="68">
        <v>25111</v>
      </c>
      <c r="G28" s="68">
        <v>65871</v>
      </c>
    </row>
    <row r="29" spans="1:9" x14ac:dyDescent="0.2">
      <c r="A29" t="s">
        <v>37</v>
      </c>
      <c r="B29" t="s">
        <v>21</v>
      </c>
      <c r="C29" t="s">
        <v>55</v>
      </c>
      <c r="D29" t="s">
        <v>66</v>
      </c>
      <c r="E29" s="69">
        <v>0</v>
      </c>
      <c r="F29" s="69">
        <v>550</v>
      </c>
      <c r="G29" s="69">
        <v>555</v>
      </c>
    </row>
    <row r="30" spans="1:9" x14ac:dyDescent="0.2">
      <c r="A30" t="s">
        <v>37</v>
      </c>
      <c r="B30" t="s">
        <v>21</v>
      </c>
      <c r="C30" t="s">
        <v>55</v>
      </c>
      <c r="D30" t="s">
        <v>68</v>
      </c>
      <c r="E30" s="69">
        <v>0</v>
      </c>
      <c r="F30" s="69">
        <v>35</v>
      </c>
      <c r="G30" s="69">
        <v>175</v>
      </c>
    </row>
    <row r="31" spans="1:9" x14ac:dyDescent="0.2">
      <c r="A31" t="s">
        <v>37</v>
      </c>
      <c r="B31" t="s">
        <v>43</v>
      </c>
      <c r="C31" t="s">
        <v>54</v>
      </c>
      <c r="D31" t="s">
        <v>72</v>
      </c>
      <c r="E31" s="69">
        <v>0</v>
      </c>
      <c r="F31" s="69">
        <v>0</v>
      </c>
      <c r="G31" s="69">
        <v>155</v>
      </c>
      <c r="H31" s="68">
        <f>SUM(E25:G31)</f>
        <v>375732</v>
      </c>
      <c r="I31" s="69" t="s">
        <v>78</v>
      </c>
    </row>
    <row r="32" spans="1:9" x14ac:dyDescent="0.2">
      <c r="A32" t="s">
        <v>37</v>
      </c>
      <c r="B32" t="s">
        <v>43</v>
      </c>
      <c r="C32" t="s">
        <v>21</v>
      </c>
      <c r="D32" t="s">
        <v>21</v>
      </c>
      <c r="E32" s="55">
        <v>13318</v>
      </c>
      <c r="F32" s="55">
        <v>24295</v>
      </c>
      <c r="G32" s="55">
        <v>52356</v>
      </c>
    </row>
    <row r="33" spans="1:9" x14ac:dyDescent="0.2">
      <c r="A33" t="s">
        <v>37</v>
      </c>
      <c r="B33" t="s">
        <v>45</v>
      </c>
      <c r="C33" t="s">
        <v>21</v>
      </c>
      <c r="D33" t="s">
        <v>21</v>
      </c>
      <c r="E33" s="55">
        <v>6968</v>
      </c>
      <c r="F33" s="55">
        <v>18430</v>
      </c>
      <c r="G33" s="55">
        <v>106905</v>
      </c>
    </row>
    <row r="34" spans="1:9" x14ac:dyDescent="0.2">
      <c r="A34" t="s">
        <v>37</v>
      </c>
      <c r="B34" t="s">
        <v>46</v>
      </c>
      <c r="C34" t="s">
        <v>21</v>
      </c>
      <c r="D34" t="s">
        <v>21</v>
      </c>
      <c r="E34" s="55">
        <v>3123</v>
      </c>
      <c r="F34" s="55">
        <v>3680</v>
      </c>
      <c r="G34" s="55">
        <v>36820</v>
      </c>
    </row>
    <row r="35" spans="1:9" x14ac:dyDescent="0.2">
      <c r="A35" t="s">
        <v>37</v>
      </c>
      <c r="B35" t="s">
        <v>47</v>
      </c>
      <c r="C35" t="s">
        <v>21</v>
      </c>
      <c r="D35" t="s">
        <v>21</v>
      </c>
      <c r="E35" s="56">
        <v>0</v>
      </c>
      <c r="F35" s="56">
        <v>437</v>
      </c>
      <c r="G35" s="55">
        <v>4675</v>
      </c>
    </row>
    <row r="36" spans="1:9" x14ac:dyDescent="0.2">
      <c r="A36" t="s">
        <v>37</v>
      </c>
      <c r="B36" t="s">
        <v>48</v>
      </c>
      <c r="C36" t="s">
        <v>21</v>
      </c>
      <c r="D36" t="s">
        <v>21</v>
      </c>
      <c r="E36" s="55">
        <v>4154</v>
      </c>
      <c r="F36" s="55">
        <v>4086</v>
      </c>
      <c r="G36" s="55">
        <v>46718</v>
      </c>
    </row>
    <row r="37" spans="1:9" x14ac:dyDescent="0.2">
      <c r="A37" t="s">
        <v>37</v>
      </c>
      <c r="B37" t="s">
        <v>49</v>
      </c>
      <c r="C37" t="s">
        <v>21</v>
      </c>
      <c r="D37" t="s">
        <v>21</v>
      </c>
      <c r="E37" s="56">
        <v>0</v>
      </c>
      <c r="F37" s="56">
        <v>0</v>
      </c>
      <c r="G37" s="56">
        <v>0</v>
      </c>
    </row>
    <row r="38" spans="1:9" x14ac:dyDescent="0.2">
      <c r="A38" t="s">
        <v>37</v>
      </c>
      <c r="B38" t="s">
        <v>50</v>
      </c>
      <c r="C38" t="s">
        <v>21</v>
      </c>
      <c r="D38" t="s">
        <v>21</v>
      </c>
      <c r="E38" s="55">
        <v>5334</v>
      </c>
      <c r="F38" s="55">
        <v>23221</v>
      </c>
      <c r="G38" s="55">
        <v>46505</v>
      </c>
      <c r="H38" s="55">
        <f>SUM(E32:G38)</f>
        <v>401025</v>
      </c>
      <c r="I38" s="56" t="s">
        <v>42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K46"/>
  <sheetViews>
    <sheetView workbookViewId="0"/>
  </sheetViews>
  <sheetFormatPr defaultRowHeight="12.75" x14ac:dyDescent="0.2"/>
  <cols>
    <col min="1" max="1" width="9.42578125" customWidth="1"/>
    <col min="2" max="2" width="26.85546875" bestFit="1" customWidth="1"/>
    <col min="3" max="3" width="15.42578125" bestFit="1" customWidth="1"/>
    <col min="4" max="4" width="9.85546875" customWidth="1"/>
    <col min="5" max="5" width="8.85546875" bestFit="1" customWidth="1"/>
    <col min="6" max="7" width="10.5703125" bestFit="1" customWidth="1"/>
    <col min="8" max="8" width="7.5703125" bestFit="1" customWidth="1"/>
    <col min="9" max="9" width="19.5703125" bestFit="1" customWidth="1"/>
    <col min="10" max="10" width="19.85546875" bestFit="1" customWidth="1"/>
    <col min="11" max="11" width="8.7109375" bestFit="1" customWidth="1"/>
    <col min="13" max="13" width="26.85546875" bestFit="1" customWidth="1"/>
    <col min="14" max="14" width="15.42578125" bestFit="1" customWidth="1"/>
    <col min="15" max="15" width="30.140625" bestFit="1" customWidth="1"/>
    <col min="16" max="16" width="7.85546875" bestFit="1" customWidth="1"/>
    <col min="17" max="17" width="8.85546875" bestFit="1" customWidth="1"/>
    <col min="18" max="18" width="10.5703125" bestFit="1" customWidth="1"/>
  </cols>
  <sheetData>
    <row r="1" spans="1:11" x14ac:dyDescent="0.2">
      <c r="A1" s="4" t="s">
        <v>77</v>
      </c>
      <c r="J1" t="s">
        <v>79</v>
      </c>
      <c r="K1" t="s">
        <v>80</v>
      </c>
    </row>
    <row r="2" spans="1:11" x14ac:dyDescent="0.2">
      <c r="A2" s="58" t="s">
        <v>73</v>
      </c>
      <c r="J2" t="s">
        <v>38</v>
      </c>
      <c r="K2" s="71">
        <f>SUM(D9:F9)</f>
        <v>715639</v>
      </c>
    </row>
    <row r="3" spans="1:11" x14ac:dyDescent="0.2">
      <c r="A3" s="58" t="s">
        <v>74</v>
      </c>
      <c r="J3" t="s">
        <v>39</v>
      </c>
      <c r="K3" s="71">
        <f>SUM(D10:F10)</f>
        <v>206984</v>
      </c>
    </row>
    <row r="4" spans="1:11" x14ac:dyDescent="0.2">
      <c r="A4" s="58" t="s">
        <v>75</v>
      </c>
      <c r="J4" t="s">
        <v>2</v>
      </c>
      <c r="K4" s="75">
        <v>29820.77</v>
      </c>
    </row>
    <row r="5" spans="1:11" x14ac:dyDescent="0.2">
      <c r="A5" s="58" t="s">
        <v>76</v>
      </c>
      <c r="J5" t="s">
        <v>3</v>
      </c>
      <c r="K5" s="71">
        <f>SUM(D8:F8)</f>
        <v>22199</v>
      </c>
    </row>
    <row r="6" spans="1:11" ht="13.5" thickBot="1" x14ac:dyDescent="0.25">
      <c r="A6" s="4"/>
      <c r="K6" s="72">
        <f>SUM(K2:K5)</f>
        <v>974642.77</v>
      </c>
    </row>
    <row r="7" spans="1:11" s="4" customFormat="1" x14ac:dyDescent="0.2">
      <c r="A7" s="59" t="s">
        <v>32</v>
      </c>
      <c r="B7" s="59" t="s">
        <v>33</v>
      </c>
      <c r="C7" s="59" t="s">
        <v>40</v>
      </c>
      <c r="D7" s="59" t="s">
        <v>34</v>
      </c>
      <c r="E7" s="59" t="s">
        <v>35</v>
      </c>
      <c r="F7" s="59" t="s">
        <v>36</v>
      </c>
      <c r="K7" s="63"/>
    </row>
    <row r="8" spans="1:11" x14ac:dyDescent="0.2">
      <c r="A8" s="59" t="s">
        <v>37</v>
      </c>
      <c r="B8" s="60" t="s">
        <v>38</v>
      </c>
      <c r="C8" s="60" t="s">
        <v>3</v>
      </c>
      <c r="D8" s="61">
        <v>0</v>
      </c>
      <c r="E8" s="61">
        <v>1104</v>
      </c>
      <c r="F8" s="61">
        <v>21095</v>
      </c>
      <c r="G8" s="53"/>
      <c r="J8" t="s">
        <v>42</v>
      </c>
      <c r="K8" s="73">
        <f>H46/K6</f>
        <v>0.48431488390356603</v>
      </c>
    </row>
    <row r="9" spans="1:11" x14ac:dyDescent="0.2">
      <c r="A9" s="59" t="s">
        <v>37</v>
      </c>
      <c r="B9" s="60" t="s">
        <v>38</v>
      </c>
      <c r="C9" s="60" t="s">
        <v>41</v>
      </c>
      <c r="D9" s="61">
        <v>157385</v>
      </c>
      <c r="E9" s="61">
        <v>61118</v>
      </c>
      <c r="F9" s="61">
        <v>497136</v>
      </c>
      <c r="G9" s="53"/>
      <c r="J9" t="s">
        <v>78</v>
      </c>
      <c r="K9" s="73">
        <f>H34/K6</f>
        <v>0.36024275848267978</v>
      </c>
    </row>
    <row r="10" spans="1:11" x14ac:dyDescent="0.2">
      <c r="A10" s="59" t="s">
        <v>37</v>
      </c>
      <c r="B10" s="60" t="s">
        <v>39</v>
      </c>
      <c r="C10" s="60" t="s">
        <v>41</v>
      </c>
      <c r="D10" s="61">
        <v>38965</v>
      </c>
      <c r="E10" s="61">
        <v>16080</v>
      </c>
      <c r="F10" s="61">
        <v>151939</v>
      </c>
      <c r="G10" s="53"/>
      <c r="J10" t="s">
        <v>81</v>
      </c>
      <c r="K10" s="73">
        <f>H25/K6</f>
        <v>7.8218402010000035E-2</v>
      </c>
    </row>
    <row r="11" spans="1:11" x14ac:dyDescent="0.2">
      <c r="A11" s="4"/>
    </row>
    <row r="12" spans="1:11" x14ac:dyDescent="0.2">
      <c r="A12" s="4" t="s">
        <v>82</v>
      </c>
      <c r="J12" s="74"/>
    </row>
    <row r="13" spans="1:11" x14ac:dyDescent="0.2">
      <c r="A13" s="58" t="s">
        <v>73</v>
      </c>
    </row>
    <row r="14" spans="1:11" x14ac:dyDescent="0.2">
      <c r="A14" s="58" t="s">
        <v>83</v>
      </c>
    </row>
    <row r="15" spans="1:11" x14ac:dyDescent="0.2">
      <c r="A15" s="58" t="s">
        <v>75</v>
      </c>
    </row>
    <row r="16" spans="1:11" x14ac:dyDescent="0.2">
      <c r="A16" s="58" t="s">
        <v>76</v>
      </c>
    </row>
    <row r="17" spans="1:9" x14ac:dyDescent="0.2">
      <c r="A17" s="4"/>
    </row>
    <row r="18" spans="1:9" x14ac:dyDescent="0.2">
      <c r="A18" s="4" t="s">
        <v>32</v>
      </c>
      <c r="B18" s="4" t="s">
        <v>42</v>
      </c>
      <c r="C18" s="4" t="s">
        <v>51</v>
      </c>
      <c r="D18" s="4" t="s">
        <v>57</v>
      </c>
      <c r="E18" s="4" t="s">
        <v>34</v>
      </c>
      <c r="F18" s="4" t="s">
        <v>35</v>
      </c>
      <c r="G18" s="4" t="s">
        <v>36</v>
      </c>
    </row>
    <row r="19" spans="1:9" x14ac:dyDescent="0.2">
      <c r="A19" t="s">
        <v>37</v>
      </c>
      <c r="B19" t="s">
        <v>21</v>
      </c>
      <c r="C19" t="s">
        <v>21</v>
      </c>
      <c r="D19" t="s">
        <v>21</v>
      </c>
      <c r="E19" s="53">
        <v>20425</v>
      </c>
      <c r="F19" s="53">
        <v>6301</v>
      </c>
      <c r="G19" s="53">
        <v>18716</v>
      </c>
    </row>
    <row r="20" spans="1:9" x14ac:dyDescent="0.2">
      <c r="A20" t="s">
        <v>37</v>
      </c>
      <c r="B20" t="s">
        <v>21</v>
      </c>
      <c r="C20" t="s">
        <v>52</v>
      </c>
      <c r="D20" t="s">
        <v>58</v>
      </c>
      <c r="E20" s="57">
        <v>0</v>
      </c>
      <c r="F20" s="57">
        <v>0</v>
      </c>
      <c r="G20" s="54">
        <v>5875</v>
      </c>
    </row>
    <row r="21" spans="1:9" x14ac:dyDescent="0.2">
      <c r="A21" t="s">
        <v>37</v>
      </c>
      <c r="B21" t="s">
        <v>21</v>
      </c>
      <c r="C21" t="s">
        <v>52</v>
      </c>
      <c r="D21" t="s">
        <v>60</v>
      </c>
      <c r="E21" s="57">
        <v>0</v>
      </c>
      <c r="F21" s="54">
        <v>1408</v>
      </c>
      <c r="G21" s="54">
        <v>12319</v>
      </c>
    </row>
    <row r="22" spans="1:9" x14ac:dyDescent="0.2">
      <c r="A22" t="s">
        <v>37</v>
      </c>
      <c r="B22" t="s">
        <v>21</v>
      </c>
      <c r="C22" t="s">
        <v>52</v>
      </c>
      <c r="D22" t="s">
        <v>62</v>
      </c>
      <c r="E22" s="57">
        <v>305</v>
      </c>
      <c r="F22" s="57">
        <v>0</v>
      </c>
      <c r="G22" s="54">
        <v>20460</v>
      </c>
    </row>
    <row r="23" spans="1:9" x14ac:dyDescent="0.2">
      <c r="A23" t="s">
        <v>37</v>
      </c>
      <c r="B23" t="s">
        <v>21</v>
      </c>
      <c r="C23" t="s">
        <v>52</v>
      </c>
      <c r="D23" t="s">
        <v>70</v>
      </c>
      <c r="E23" s="57">
        <v>641</v>
      </c>
      <c r="F23" s="57">
        <v>241</v>
      </c>
      <c r="G23" s="54">
        <v>5396</v>
      </c>
    </row>
    <row r="24" spans="1:9" x14ac:dyDescent="0.2">
      <c r="A24" t="s">
        <v>37</v>
      </c>
      <c r="B24" t="s">
        <v>21</v>
      </c>
      <c r="C24" t="s">
        <v>52</v>
      </c>
      <c r="D24" t="s">
        <v>71</v>
      </c>
      <c r="E24" s="57">
        <v>0</v>
      </c>
      <c r="F24" s="57">
        <v>0</v>
      </c>
      <c r="G24" s="54">
        <v>12796</v>
      </c>
    </row>
    <row r="25" spans="1:9" x14ac:dyDescent="0.2">
      <c r="A25" t="s">
        <v>37</v>
      </c>
      <c r="B25" t="s">
        <v>21</v>
      </c>
      <c r="C25" t="s">
        <v>52</v>
      </c>
      <c r="D25" t="s">
        <v>72</v>
      </c>
      <c r="E25" s="57">
        <v>409</v>
      </c>
      <c r="F25" s="57">
        <v>380</v>
      </c>
      <c r="G25" s="54">
        <v>16005</v>
      </c>
      <c r="H25" s="57">
        <f>SUM(E20:G25)</f>
        <v>76235</v>
      </c>
      <c r="I25" s="57" t="s">
        <v>52</v>
      </c>
    </row>
    <row r="26" spans="1:9" x14ac:dyDescent="0.2">
      <c r="A26" t="s">
        <v>37</v>
      </c>
      <c r="B26" t="s">
        <v>21</v>
      </c>
      <c r="C26" t="s">
        <v>54</v>
      </c>
      <c r="D26" t="s">
        <v>72</v>
      </c>
      <c r="E26" s="68">
        <v>34404</v>
      </c>
      <c r="F26" s="68">
        <v>14237</v>
      </c>
      <c r="G26" s="68">
        <v>51083</v>
      </c>
    </row>
    <row r="27" spans="1:9" x14ac:dyDescent="0.2">
      <c r="A27" t="s">
        <v>37</v>
      </c>
      <c r="B27" t="s">
        <v>21</v>
      </c>
      <c r="C27" t="s">
        <v>55</v>
      </c>
      <c r="D27" t="s">
        <v>66</v>
      </c>
      <c r="E27" s="69">
        <v>527</v>
      </c>
      <c r="F27" s="69">
        <v>274</v>
      </c>
      <c r="G27" s="68">
        <v>1860</v>
      </c>
    </row>
    <row r="28" spans="1:9" x14ac:dyDescent="0.2">
      <c r="A28" t="s">
        <v>37</v>
      </c>
      <c r="B28" t="s">
        <v>21</v>
      </c>
      <c r="C28" t="s">
        <v>55</v>
      </c>
      <c r="D28" t="s">
        <v>67</v>
      </c>
      <c r="E28" s="69">
        <v>21</v>
      </c>
      <c r="F28" s="69">
        <v>0</v>
      </c>
      <c r="G28" s="69">
        <v>89</v>
      </c>
    </row>
    <row r="29" spans="1:9" x14ac:dyDescent="0.2">
      <c r="A29" t="s">
        <v>37</v>
      </c>
      <c r="B29" t="s">
        <v>21</v>
      </c>
      <c r="C29" t="s">
        <v>55</v>
      </c>
      <c r="D29" t="s">
        <v>68</v>
      </c>
      <c r="E29" s="68">
        <v>2150</v>
      </c>
      <c r="F29" s="69">
        <v>490</v>
      </c>
      <c r="G29" s="68">
        <v>13791</v>
      </c>
    </row>
    <row r="30" spans="1:9" x14ac:dyDescent="0.2">
      <c r="A30" t="s">
        <v>37</v>
      </c>
      <c r="B30" t="s">
        <v>21</v>
      </c>
      <c r="C30" t="s">
        <v>55</v>
      </c>
      <c r="D30" t="s">
        <v>69</v>
      </c>
      <c r="E30" s="68">
        <v>8188</v>
      </c>
      <c r="F30" s="68">
        <v>4904</v>
      </c>
      <c r="G30" s="68">
        <v>37136</v>
      </c>
    </row>
    <row r="31" spans="1:9" x14ac:dyDescent="0.2">
      <c r="A31" t="s">
        <v>37</v>
      </c>
      <c r="B31" t="s">
        <v>21</v>
      </c>
      <c r="C31" t="s">
        <v>55</v>
      </c>
      <c r="D31" t="s">
        <v>72</v>
      </c>
      <c r="E31" s="68">
        <v>13658</v>
      </c>
      <c r="F31" s="68">
        <v>5906</v>
      </c>
      <c r="G31" s="68">
        <v>37946</v>
      </c>
    </row>
    <row r="32" spans="1:9" x14ac:dyDescent="0.2">
      <c r="A32" t="s">
        <v>37</v>
      </c>
      <c r="B32" t="s">
        <v>21</v>
      </c>
      <c r="C32" t="s">
        <v>90</v>
      </c>
      <c r="D32" t="s">
        <v>63</v>
      </c>
      <c r="E32" s="69">
        <v>105</v>
      </c>
      <c r="F32" s="69">
        <v>0</v>
      </c>
      <c r="G32" s="69">
        <v>340</v>
      </c>
    </row>
    <row r="33" spans="1:9" x14ac:dyDescent="0.2">
      <c r="A33" t="s">
        <v>37</v>
      </c>
      <c r="B33" t="s">
        <v>21</v>
      </c>
      <c r="C33" t="s">
        <v>91</v>
      </c>
      <c r="D33" t="s">
        <v>59</v>
      </c>
      <c r="E33" s="68">
        <v>14335</v>
      </c>
      <c r="F33" s="68">
        <v>1968</v>
      </c>
      <c r="G33" s="68">
        <v>94613</v>
      </c>
    </row>
    <row r="34" spans="1:9" x14ac:dyDescent="0.2">
      <c r="A34" t="s">
        <v>37</v>
      </c>
      <c r="B34" t="s">
        <v>21</v>
      </c>
      <c r="C34" t="s">
        <v>91</v>
      </c>
      <c r="D34" t="s">
        <v>72</v>
      </c>
      <c r="E34" s="68">
        <v>1452</v>
      </c>
      <c r="F34" s="69">
        <v>930</v>
      </c>
      <c r="G34" s="68">
        <v>10701</v>
      </c>
      <c r="H34" s="68">
        <f>SUM(E26:G34)</f>
        <v>351108</v>
      </c>
      <c r="I34" s="69" t="s">
        <v>78</v>
      </c>
    </row>
    <row r="35" spans="1:9" x14ac:dyDescent="0.2">
      <c r="A35" t="s">
        <v>37</v>
      </c>
      <c r="B35" t="s">
        <v>43</v>
      </c>
      <c r="C35" t="s">
        <v>21</v>
      </c>
      <c r="D35" t="s">
        <v>21</v>
      </c>
      <c r="E35" s="55">
        <v>25364</v>
      </c>
      <c r="F35" s="55">
        <v>10454</v>
      </c>
      <c r="G35" s="55">
        <v>59201</v>
      </c>
    </row>
    <row r="36" spans="1:9" x14ac:dyDescent="0.2">
      <c r="A36" t="s">
        <v>37</v>
      </c>
      <c r="B36" t="s">
        <v>44</v>
      </c>
      <c r="C36" t="s">
        <v>52</v>
      </c>
      <c r="D36" t="s">
        <v>62</v>
      </c>
      <c r="E36" s="56">
        <v>0</v>
      </c>
      <c r="F36" s="56">
        <v>0</v>
      </c>
      <c r="G36" s="55">
        <v>1974</v>
      </c>
    </row>
    <row r="37" spans="1:9" x14ac:dyDescent="0.2">
      <c r="A37" t="s">
        <v>37</v>
      </c>
      <c r="B37" t="s">
        <v>44</v>
      </c>
      <c r="C37" t="s">
        <v>91</v>
      </c>
      <c r="D37" t="s">
        <v>59</v>
      </c>
      <c r="E37" s="56">
        <v>135</v>
      </c>
      <c r="F37" s="56">
        <v>0</v>
      </c>
      <c r="G37" s="56">
        <v>742</v>
      </c>
    </row>
    <row r="38" spans="1:9" x14ac:dyDescent="0.2">
      <c r="A38" t="s">
        <v>37</v>
      </c>
      <c r="B38" t="s">
        <v>45</v>
      </c>
      <c r="C38" t="s">
        <v>21</v>
      </c>
      <c r="D38" t="s">
        <v>21</v>
      </c>
      <c r="E38" s="55">
        <v>20483</v>
      </c>
      <c r="F38" s="55">
        <v>7252</v>
      </c>
      <c r="G38" s="55">
        <v>107884</v>
      </c>
    </row>
    <row r="39" spans="1:9" x14ac:dyDescent="0.2">
      <c r="A39" t="s">
        <v>37</v>
      </c>
      <c r="B39" t="s">
        <v>46</v>
      </c>
      <c r="C39" t="s">
        <v>21</v>
      </c>
      <c r="D39" t="s">
        <v>21</v>
      </c>
      <c r="E39" s="55">
        <v>6418</v>
      </c>
      <c r="F39" s="55">
        <v>16022</v>
      </c>
      <c r="G39" s="55">
        <v>38433</v>
      </c>
    </row>
    <row r="40" spans="1:9" x14ac:dyDescent="0.2">
      <c r="A40" t="s">
        <v>37</v>
      </c>
      <c r="B40" t="s">
        <v>46</v>
      </c>
      <c r="C40" t="s">
        <v>54</v>
      </c>
      <c r="D40" t="s">
        <v>72</v>
      </c>
      <c r="E40" s="56">
        <v>0</v>
      </c>
      <c r="F40" s="56">
        <v>272</v>
      </c>
      <c r="G40" s="56">
        <v>250</v>
      </c>
    </row>
    <row r="41" spans="1:9" x14ac:dyDescent="0.2">
      <c r="A41" t="s">
        <v>37</v>
      </c>
      <c r="B41" t="s">
        <v>47</v>
      </c>
      <c r="C41" t="s">
        <v>21</v>
      </c>
      <c r="D41" t="s">
        <v>21</v>
      </c>
      <c r="E41" s="56">
        <v>430</v>
      </c>
      <c r="F41" s="56">
        <v>0</v>
      </c>
      <c r="G41" s="55">
        <v>1079</v>
      </c>
    </row>
    <row r="42" spans="1:9" x14ac:dyDescent="0.2">
      <c r="A42" t="s">
        <v>37</v>
      </c>
      <c r="B42" t="s">
        <v>47</v>
      </c>
      <c r="C42" t="s">
        <v>52</v>
      </c>
      <c r="D42" t="s">
        <v>70</v>
      </c>
      <c r="E42" s="56">
        <v>0</v>
      </c>
      <c r="F42" s="56">
        <v>236</v>
      </c>
      <c r="G42" s="55">
        <v>3692</v>
      </c>
    </row>
    <row r="43" spans="1:9" x14ac:dyDescent="0.2">
      <c r="A43" t="s">
        <v>37</v>
      </c>
      <c r="B43" t="s">
        <v>48</v>
      </c>
      <c r="C43" t="s">
        <v>21</v>
      </c>
      <c r="D43" t="s">
        <v>21</v>
      </c>
      <c r="E43" s="55">
        <v>3360</v>
      </c>
      <c r="F43" s="55">
        <v>4119</v>
      </c>
      <c r="G43" s="55">
        <v>42928</v>
      </c>
    </row>
    <row r="44" spans="1:9" x14ac:dyDescent="0.2">
      <c r="A44" t="s">
        <v>37</v>
      </c>
      <c r="B44" t="s">
        <v>49</v>
      </c>
      <c r="C44" t="s">
        <v>21</v>
      </c>
      <c r="D44" t="s">
        <v>21</v>
      </c>
      <c r="E44" s="56">
        <v>0</v>
      </c>
      <c r="F44" s="56">
        <v>0</v>
      </c>
      <c r="G44" s="56">
        <v>0</v>
      </c>
    </row>
    <row r="45" spans="1:9" x14ac:dyDescent="0.2">
      <c r="A45" t="s">
        <v>37</v>
      </c>
      <c r="B45" t="s">
        <v>50</v>
      </c>
      <c r="C45" t="s">
        <v>21</v>
      </c>
      <c r="D45" t="s">
        <v>21</v>
      </c>
      <c r="E45" s="55">
        <v>43471</v>
      </c>
      <c r="F45" s="55">
        <v>2907</v>
      </c>
      <c r="G45" s="55">
        <v>74788</v>
      </c>
    </row>
    <row r="46" spans="1:9" x14ac:dyDescent="0.2">
      <c r="A46" t="s">
        <v>37</v>
      </c>
      <c r="B46" t="s">
        <v>50</v>
      </c>
      <c r="C46" t="s">
        <v>54</v>
      </c>
      <c r="D46" t="s">
        <v>72</v>
      </c>
      <c r="E46" s="56">
        <v>68</v>
      </c>
      <c r="F46" s="56">
        <v>0</v>
      </c>
      <c r="G46" s="56">
        <v>72</v>
      </c>
      <c r="H46" s="55">
        <f>SUM(E35:G46)</f>
        <v>472034</v>
      </c>
      <c r="I46" s="56" t="s">
        <v>42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389A3-D255-4911-8BA2-2C7D1C0878EE}">
  <dimension ref="A1:G23"/>
  <sheetViews>
    <sheetView zoomScale="130" zoomScaleNormal="130" workbookViewId="0">
      <selection activeCell="D8" sqref="D8:D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437</v>
      </c>
      <c r="B8" s="340" t="s">
        <v>38</v>
      </c>
      <c r="C8" s="340" t="s">
        <v>3</v>
      </c>
      <c r="D8" s="342">
        <v>0</v>
      </c>
      <c r="E8" s="342">
        <v>0</v>
      </c>
      <c r="F8" s="342">
        <v>3477.85</v>
      </c>
    </row>
    <row r="9" spans="1:7" x14ac:dyDescent="0.25">
      <c r="A9" s="340" t="s">
        <v>437</v>
      </c>
      <c r="B9" s="340" t="s">
        <v>38</v>
      </c>
      <c r="C9" s="340" t="s">
        <v>323</v>
      </c>
      <c r="D9" s="342">
        <v>583.19000000000005</v>
      </c>
      <c r="E9" s="342">
        <v>552</v>
      </c>
      <c r="F9" s="342">
        <v>54877.18</v>
      </c>
    </row>
    <row r="10" spans="1:7" x14ac:dyDescent="0.25">
      <c r="A10" s="340" t="s">
        <v>437</v>
      </c>
      <c r="B10" s="340" t="s">
        <v>38</v>
      </c>
      <c r="C10" s="340" t="s">
        <v>41</v>
      </c>
      <c r="D10" s="342">
        <v>99775.54</v>
      </c>
      <c r="E10" s="342">
        <v>81089.039999999994</v>
      </c>
      <c r="F10" s="342">
        <v>1149853.32</v>
      </c>
    </row>
    <row r="11" spans="1:7" x14ac:dyDescent="0.25">
      <c r="A11" s="340" t="s">
        <v>437</v>
      </c>
      <c r="B11" s="340" t="s">
        <v>39</v>
      </c>
      <c r="C11" s="340" t="s">
        <v>41</v>
      </c>
      <c r="D11" s="342">
        <v>27165.73</v>
      </c>
      <c r="E11" s="342">
        <v>21926.61</v>
      </c>
      <c r="F11" s="342">
        <v>96571.79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1330717.9000000001</v>
      </c>
      <c r="E14" s="390"/>
      <c r="F14" s="417"/>
    </row>
    <row r="15" spans="1:7" x14ac:dyDescent="0.25">
      <c r="A15" s="336" t="s">
        <v>39</v>
      </c>
      <c r="B15" s="415">
        <f>SUM(D11:F11)</f>
        <v>145664.13</v>
      </c>
    </row>
    <row r="16" spans="1:7" x14ac:dyDescent="0.25">
      <c r="A16" s="336" t="s">
        <v>2</v>
      </c>
      <c r="B16" s="415">
        <f>SUM(D9:F9)</f>
        <v>56012.37</v>
      </c>
    </row>
    <row r="17" spans="1:6" x14ac:dyDescent="0.25">
      <c r="A17" s="336" t="s">
        <v>3</v>
      </c>
      <c r="B17" s="415">
        <f>SUM(D8:F8)</f>
        <v>3477.85</v>
      </c>
    </row>
    <row r="18" spans="1:6" ht="15.75" thickBot="1" x14ac:dyDescent="0.3">
      <c r="A18" s="361"/>
      <c r="B18" s="416">
        <f>SUM(B14:B17)</f>
        <v>1535872.2500000005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K55"/>
  <sheetViews>
    <sheetView workbookViewId="0"/>
  </sheetViews>
  <sheetFormatPr defaultRowHeight="12.75" x14ac:dyDescent="0.2"/>
  <cols>
    <col min="1" max="1" width="9.42578125" customWidth="1"/>
    <col min="2" max="2" width="26.85546875" bestFit="1" customWidth="1"/>
    <col min="3" max="3" width="15.42578125" bestFit="1" customWidth="1"/>
    <col min="4" max="4" width="9.85546875" customWidth="1"/>
    <col min="5" max="5" width="8.85546875" bestFit="1" customWidth="1"/>
    <col min="6" max="7" width="10.5703125" bestFit="1" customWidth="1"/>
    <col min="8" max="8" width="7.5703125" bestFit="1" customWidth="1"/>
    <col min="9" max="9" width="19.5703125" bestFit="1" customWidth="1"/>
    <col min="10" max="10" width="19.85546875" bestFit="1" customWidth="1"/>
    <col min="11" max="11" width="8.7109375" bestFit="1" customWidth="1"/>
    <col min="13" max="13" width="26.85546875" bestFit="1" customWidth="1"/>
    <col min="14" max="14" width="15.42578125" bestFit="1" customWidth="1"/>
    <col min="15" max="15" width="30.140625" bestFit="1" customWidth="1"/>
    <col min="16" max="16" width="7.85546875" bestFit="1" customWidth="1"/>
    <col min="17" max="17" width="8.85546875" bestFit="1" customWidth="1"/>
    <col min="18" max="18" width="10.5703125" bestFit="1" customWidth="1"/>
  </cols>
  <sheetData>
    <row r="1" spans="1:11" x14ac:dyDescent="0.2">
      <c r="A1" s="4" t="s">
        <v>77</v>
      </c>
      <c r="J1" t="s">
        <v>79</v>
      </c>
      <c r="K1" t="s">
        <v>80</v>
      </c>
    </row>
    <row r="2" spans="1:11" x14ac:dyDescent="0.2">
      <c r="A2" s="58" t="s">
        <v>73</v>
      </c>
      <c r="J2" t="s">
        <v>38</v>
      </c>
      <c r="K2" s="71">
        <f>SUM(D9:F9)</f>
        <v>626252</v>
      </c>
    </row>
    <row r="3" spans="1:11" x14ac:dyDescent="0.2">
      <c r="A3" s="58" t="s">
        <v>74</v>
      </c>
      <c r="J3" t="s">
        <v>39</v>
      </c>
      <c r="K3" s="71">
        <f>SUM(D10:F10)</f>
        <v>183489</v>
      </c>
    </row>
    <row r="4" spans="1:11" x14ac:dyDescent="0.2">
      <c r="A4" s="58" t="s">
        <v>75</v>
      </c>
      <c r="J4" t="s">
        <v>2</v>
      </c>
      <c r="K4" s="75">
        <v>30208</v>
      </c>
    </row>
    <row r="5" spans="1:11" x14ac:dyDescent="0.2">
      <c r="A5" s="58" t="s">
        <v>76</v>
      </c>
      <c r="J5" t="s">
        <v>3</v>
      </c>
      <c r="K5" s="71">
        <f>SUM(D8:F8)</f>
        <v>23845</v>
      </c>
    </row>
    <row r="6" spans="1:11" ht="13.5" thickBot="1" x14ac:dyDescent="0.25">
      <c r="A6" s="4"/>
      <c r="K6" s="72">
        <f>SUM(K2:K5)</f>
        <v>863794</v>
      </c>
    </row>
    <row r="7" spans="1:11" s="4" customFormat="1" x14ac:dyDescent="0.2">
      <c r="A7" s="59" t="s">
        <v>32</v>
      </c>
      <c r="B7" s="59" t="s">
        <v>33</v>
      </c>
      <c r="C7" s="59" t="s">
        <v>40</v>
      </c>
      <c r="D7" s="59" t="s">
        <v>34</v>
      </c>
      <c r="E7" s="59" t="s">
        <v>35</v>
      </c>
      <c r="F7" s="59" t="s">
        <v>36</v>
      </c>
      <c r="K7" s="63"/>
    </row>
    <row r="8" spans="1:11" x14ac:dyDescent="0.2">
      <c r="A8" s="59" t="s">
        <v>37</v>
      </c>
      <c r="B8" s="60" t="s">
        <v>38</v>
      </c>
      <c r="C8" s="60" t="s">
        <v>3</v>
      </c>
      <c r="D8" s="61">
        <v>1395</v>
      </c>
      <c r="E8" s="60">
        <v>0</v>
      </c>
      <c r="F8" s="61">
        <v>22450</v>
      </c>
      <c r="G8" s="53"/>
      <c r="J8" t="s">
        <v>42</v>
      </c>
      <c r="K8" s="73">
        <f>H55/K6</f>
        <v>0.46080778518952437</v>
      </c>
    </row>
    <row r="9" spans="1:11" x14ac:dyDescent="0.2">
      <c r="A9" s="59" t="s">
        <v>37</v>
      </c>
      <c r="B9" s="60" t="s">
        <v>38</v>
      </c>
      <c r="C9" s="60" t="s">
        <v>41</v>
      </c>
      <c r="D9" s="61">
        <v>69000</v>
      </c>
      <c r="E9" s="61">
        <v>47707</v>
      </c>
      <c r="F9" s="61">
        <v>509545</v>
      </c>
      <c r="G9" s="53"/>
      <c r="J9" t="s">
        <v>78</v>
      </c>
      <c r="K9" s="73">
        <f>H38/K6</f>
        <v>0.38215824606329751</v>
      </c>
    </row>
    <row r="10" spans="1:11" x14ac:dyDescent="0.2">
      <c r="A10" s="59" t="s">
        <v>37</v>
      </c>
      <c r="B10" s="60" t="s">
        <v>39</v>
      </c>
      <c r="C10" s="60" t="s">
        <v>41</v>
      </c>
      <c r="D10" s="61">
        <v>17051</v>
      </c>
      <c r="E10" s="61">
        <v>8440</v>
      </c>
      <c r="F10" s="61">
        <v>157998</v>
      </c>
      <c r="G10" s="53"/>
      <c r="J10" t="s">
        <v>81</v>
      </c>
      <c r="K10" s="73">
        <f>H24/K6</f>
        <v>7.2570543439755317E-2</v>
      </c>
    </row>
    <row r="11" spans="1:11" x14ac:dyDescent="0.2">
      <c r="A11" s="4"/>
    </row>
    <row r="12" spans="1:11" x14ac:dyDescent="0.2">
      <c r="A12" s="4" t="s">
        <v>82</v>
      </c>
      <c r="J12" s="74"/>
    </row>
    <row r="13" spans="1:11" x14ac:dyDescent="0.2">
      <c r="A13" s="58" t="s">
        <v>73</v>
      </c>
    </row>
    <row r="14" spans="1:11" x14ac:dyDescent="0.2">
      <c r="A14" s="58" t="s">
        <v>83</v>
      </c>
    </row>
    <row r="15" spans="1:11" x14ac:dyDescent="0.2">
      <c r="A15" s="58" t="s">
        <v>75</v>
      </c>
    </row>
    <row r="16" spans="1:11" x14ac:dyDescent="0.2">
      <c r="A16" s="58" t="s">
        <v>76</v>
      </c>
    </row>
    <row r="17" spans="1:9" x14ac:dyDescent="0.2">
      <c r="A17" s="4"/>
    </row>
    <row r="18" spans="1:9" s="4" customFormat="1" x14ac:dyDescent="0.2">
      <c r="A18" s="4" t="s">
        <v>32</v>
      </c>
      <c r="B18" s="4" t="s">
        <v>42</v>
      </c>
      <c r="C18" s="4" t="s">
        <v>51</v>
      </c>
      <c r="D18" s="4" t="s">
        <v>57</v>
      </c>
      <c r="E18" s="4" t="s">
        <v>34</v>
      </c>
      <c r="F18" s="4" t="s">
        <v>35</v>
      </c>
      <c r="G18" s="4" t="s">
        <v>36</v>
      </c>
    </row>
    <row r="19" spans="1:9" x14ac:dyDescent="0.2">
      <c r="A19" t="s">
        <v>37</v>
      </c>
      <c r="B19" t="s">
        <v>21</v>
      </c>
      <c r="C19" t="s">
        <v>21</v>
      </c>
      <c r="D19" t="s">
        <v>21</v>
      </c>
      <c r="E19" s="53">
        <v>7051</v>
      </c>
      <c r="F19" s="53">
        <v>2766</v>
      </c>
      <c r="G19" s="53">
        <v>32000</v>
      </c>
    </row>
    <row r="20" spans="1:9" x14ac:dyDescent="0.2">
      <c r="A20" t="s">
        <v>37</v>
      </c>
      <c r="B20" t="s">
        <v>21</v>
      </c>
      <c r="C20" t="s">
        <v>52</v>
      </c>
      <c r="D20" t="s">
        <v>58</v>
      </c>
      <c r="E20" s="57">
        <v>0</v>
      </c>
      <c r="F20" s="57">
        <v>166</v>
      </c>
      <c r="G20" s="54">
        <v>5709</v>
      </c>
    </row>
    <row r="21" spans="1:9" x14ac:dyDescent="0.2">
      <c r="A21" t="s">
        <v>37</v>
      </c>
      <c r="B21" t="s">
        <v>21</v>
      </c>
      <c r="C21" t="s">
        <v>52</v>
      </c>
      <c r="D21" t="s">
        <v>60</v>
      </c>
      <c r="E21" s="54">
        <v>1408</v>
      </c>
      <c r="F21" s="57">
        <v>259</v>
      </c>
      <c r="G21" s="54">
        <v>12060</v>
      </c>
    </row>
    <row r="22" spans="1:9" x14ac:dyDescent="0.2">
      <c r="A22" t="s">
        <v>37</v>
      </c>
      <c r="B22" t="s">
        <v>21</v>
      </c>
      <c r="C22" t="s">
        <v>52</v>
      </c>
      <c r="D22" t="s">
        <v>62</v>
      </c>
      <c r="E22" s="57">
        <v>0</v>
      </c>
      <c r="F22" s="57">
        <v>432</v>
      </c>
      <c r="G22" s="54">
        <v>27420</v>
      </c>
    </row>
    <row r="23" spans="1:9" x14ac:dyDescent="0.2">
      <c r="A23" t="s">
        <v>37</v>
      </c>
      <c r="B23" t="s">
        <v>21</v>
      </c>
      <c r="C23" t="s">
        <v>52</v>
      </c>
      <c r="D23" t="s">
        <v>70</v>
      </c>
      <c r="E23" s="57">
        <v>163</v>
      </c>
      <c r="F23" s="57">
        <v>0</v>
      </c>
      <c r="G23" s="54">
        <v>2362</v>
      </c>
    </row>
    <row r="24" spans="1:9" x14ac:dyDescent="0.2">
      <c r="A24" t="s">
        <v>37</v>
      </c>
      <c r="B24" t="s">
        <v>21</v>
      </c>
      <c r="C24" t="s">
        <v>52</v>
      </c>
      <c r="D24" t="s">
        <v>71</v>
      </c>
      <c r="E24" s="57">
        <v>0</v>
      </c>
      <c r="F24" s="57">
        <v>839</v>
      </c>
      <c r="G24" s="54">
        <v>11868</v>
      </c>
      <c r="H24" s="54">
        <f>SUM(E20:G24)</f>
        <v>62686</v>
      </c>
      <c r="I24" s="57" t="s">
        <v>52</v>
      </c>
    </row>
    <row r="25" spans="1:9" x14ac:dyDescent="0.2">
      <c r="A25" t="s">
        <v>37</v>
      </c>
      <c r="B25" t="s">
        <v>21</v>
      </c>
      <c r="C25" t="s">
        <v>52</v>
      </c>
      <c r="D25" t="s">
        <v>72</v>
      </c>
      <c r="E25" s="68">
        <v>908</v>
      </c>
      <c r="F25" s="68">
        <v>3607</v>
      </c>
      <c r="G25" s="68">
        <v>35530</v>
      </c>
    </row>
    <row r="26" spans="1:9" x14ac:dyDescent="0.2">
      <c r="A26" t="s">
        <v>37</v>
      </c>
      <c r="B26" t="s">
        <v>21</v>
      </c>
      <c r="C26" t="s">
        <v>54</v>
      </c>
      <c r="D26" t="s">
        <v>65</v>
      </c>
      <c r="E26">
        <v>0</v>
      </c>
      <c r="F26">
        <v>51</v>
      </c>
      <c r="G26">
        <v>179</v>
      </c>
    </row>
    <row r="27" spans="1:9" x14ac:dyDescent="0.2">
      <c r="A27" t="s">
        <v>37</v>
      </c>
      <c r="B27" t="s">
        <v>21</v>
      </c>
      <c r="C27" t="s">
        <v>54</v>
      </c>
      <c r="D27" t="s">
        <v>86</v>
      </c>
      <c r="E27">
        <v>0</v>
      </c>
      <c r="F27">
        <v>0</v>
      </c>
      <c r="G27">
        <v>5</v>
      </c>
    </row>
    <row r="28" spans="1:9" x14ac:dyDescent="0.2">
      <c r="A28" t="s">
        <v>37</v>
      </c>
      <c r="B28" t="s">
        <v>21</v>
      </c>
      <c r="C28" t="s">
        <v>54</v>
      </c>
      <c r="D28" t="s">
        <v>87</v>
      </c>
      <c r="E28">
        <v>35</v>
      </c>
      <c r="F28">
        <v>0</v>
      </c>
      <c r="G28">
        <v>664</v>
      </c>
    </row>
    <row r="29" spans="1:9" x14ac:dyDescent="0.2">
      <c r="A29" t="s">
        <v>37</v>
      </c>
      <c r="B29" t="s">
        <v>21</v>
      </c>
      <c r="C29" t="s">
        <v>54</v>
      </c>
      <c r="D29" t="s">
        <v>72</v>
      </c>
      <c r="E29" s="68">
        <v>23101</v>
      </c>
      <c r="F29" s="68">
        <v>9902</v>
      </c>
      <c r="G29" s="68">
        <v>46315</v>
      </c>
    </row>
    <row r="30" spans="1:9" x14ac:dyDescent="0.2">
      <c r="A30" t="s">
        <v>37</v>
      </c>
      <c r="B30" t="s">
        <v>21</v>
      </c>
      <c r="C30" t="s">
        <v>55</v>
      </c>
      <c r="D30" t="s">
        <v>66</v>
      </c>
      <c r="E30" s="68">
        <v>0</v>
      </c>
      <c r="F30" s="68">
        <v>39</v>
      </c>
      <c r="G30" s="68">
        <v>237</v>
      </c>
    </row>
    <row r="31" spans="1:9" x14ac:dyDescent="0.2">
      <c r="A31" t="s">
        <v>37</v>
      </c>
      <c r="B31" t="s">
        <v>21</v>
      </c>
      <c r="C31" t="s">
        <v>55</v>
      </c>
      <c r="D31" t="s">
        <v>67</v>
      </c>
      <c r="E31" s="69">
        <v>29</v>
      </c>
      <c r="F31" s="69">
        <v>0</v>
      </c>
      <c r="G31" s="68">
        <v>680</v>
      </c>
    </row>
    <row r="32" spans="1:9" x14ac:dyDescent="0.2">
      <c r="A32" t="s">
        <v>37</v>
      </c>
      <c r="B32" t="s">
        <v>21</v>
      </c>
      <c r="C32" t="s">
        <v>55</v>
      </c>
      <c r="D32" t="s">
        <v>68</v>
      </c>
      <c r="E32" s="69">
        <v>0</v>
      </c>
      <c r="F32" s="69">
        <v>476</v>
      </c>
      <c r="G32" s="68">
        <v>6817</v>
      </c>
    </row>
    <row r="33" spans="1:9" x14ac:dyDescent="0.2">
      <c r="A33" t="s">
        <v>37</v>
      </c>
      <c r="B33" t="s">
        <v>21</v>
      </c>
      <c r="C33" t="s">
        <v>55</v>
      </c>
      <c r="D33" t="s">
        <v>69</v>
      </c>
      <c r="E33" s="68">
        <v>6526</v>
      </c>
      <c r="F33" s="68">
        <v>5311</v>
      </c>
      <c r="G33" s="68">
        <v>66537</v>
      </c>
    </row>
    <row r="34" spans="1:9" x14ac:dyDescent="0.2">
      <c r="A34" t="s">
        <v>37</v>
      </c>
      <c r="B34" t="s">
        <v>21</v>
      </c>
      <c r="C34" t="s">
        <v>55</v>
      </c>
      <c r="D34" t="s">
        <v>72</v>
      </c>
      <c r="E34" s="68">
        <v>1150</v>
      </c>
      <c r="F34" s="68">
        <v>1212</v>
      </c>
      <c r="G34" s="68">
        <v>20753</v>
      </c>
    </row>
    <row r="35" spans="1:9" s="58" customFormat="1" x14ac:dyDescent="0.2">
      <c r="A35" s="58" t="s">
        <v>37</v>
      </c>
      <c r="B35" s="58" t="s">
        <v>21</v>
      </c>
      <c r="C35" s="58" t="s">
        <v>88</v>
      </c>
      <c r="D35" s="58" t="s">
        <v>63</v>
      </c>
      <c r="E35" s="70">
        <v>60</v>
      </c>
      <c r="F35" s="70">
        <v>0</v>
      </c>
      <c r="G35" s="70">
        <v>293</v>
      </c>
    </row>
    <row r="36" spans="1:9" x14ac:dyDescent="0.2">
      <c r="A36" t="s">
        <v>37</v>
      </c>
      <c r="B36" t="s">
        <v>21</v>
      </c>
      <c r="C36" t="s">
        <v>56</v>
      </c>
      <c r="D36" t="s">
        <v>59</v>
      </c>
      <c r="E36" s="68">
        <v>2060</v>
      </c>
      <c r="F36" s="68">
        <v>2046</v>
      </c>
      <c r="G36" s="68">
        <v>92933</v>
      </c>
    </row>
    <row r="37" spans="1:9" x14ac:dyDescent="0.2">
      <c r="A37" t="s">
        <v>37</v>
      </c>
      <c r="B37" t="s">
        <v>21</v>
      </c>
      <c r="C37" t="s">
        <v>56</v>
      </c>
      <c r="D37" t="s">
        <v>63</v>
      </c>
      <c r="E37" s="69">
        <v>0</v>
      </c>
      <c r="F37" s="69">
        <v>0</v>
      </c>
      <c r="G37" s="69">
        <v>0</v>
      </c>
    </row>
    <row r="38" spans="1:9" x14ac:dyDescent="0.2">
      <c r="A38" t="s">
        <v>37</v>
      </c>
      <c r="B38" t="s">
        <v>21</v>
      </c>
      <c r="C38" t="s">
        <v>56</v>
      </c>
      <c r="D38" t="s">
        <v>72</v>
      </c>
      <c r="E38" s="69">
        <v>224</v>
      </c>
      <c r="F38" s="69">
        <v>0</v>
      </c>
      <c r="G38" s="68">
        <v>3360</v>
      </c>
      <c r="H38" s="68">
        <f>SUM(E25:G25)+SUM(E29:G38)</f>
        <v>330106</v>
      </c>
      <c r="I38" s="69" t="s">
        <v>85</v>
      </c>
    </row>
    <row r="39" spans="1:9" x14ac:dyDescent="0.2">
      <c r="A39" t="s">
        <v>37</v>
      </c>
      <c r="B39" t="s">
        <v>43</v>
      </c>
      <c r="C39" t="s">
        <v>21</v>
      </c>
      <c r="D39" t="s">
        <v>21</v>
      </c>
      <c r="E39" s="55">
        <v>11085</v>
      </c>
      <c r="F39" s="55">
        <v>9205</v>
      </c>
      <c r="G39" s="55">
        <v>64441</v>
      </c>
    </row>
    <row r="40" spans="1:9" x14ac:dyDescent="0.2">
      <c r="A40" t="s">
        <v>37</v>
      </c>
      <c r="B40" t="s">
        <v>43</v>
      </c>
      <c r="C40" t="s">
        <v>54</v>
      </c>
      <c r="D40" t="s">
        <v>72</v>
      </c>
      <c r="E40" s="56">
        <v>0</v>
      </c>
      <c r="F40" s="56">
        <v>164</v>
      </c>
      <c r="G40" s="56">
        <v>123</v>
      </c>
    </row>
    <row r="41" spans="1:9" x14ac:dyDescent="0.2">
      <c r="A41" t="s">
        <v>37</v>
      </c>
      <c r="B41" t="s">
        <v>43</v>
      </c>
      <c r="C41" t="s">
        <v>55</v>
      </c>
      <c r="D41" t="s">
        <v>89</v>
      </c>
      <c r="E41" s="56">
        <v>0</v>
      </c>
      <c r="F41" s="56">
        <v>0</v>
      </c>
      <c r="G41" s="56">
        <v>0</v>
      </c>
    </row>
    <row r="42" spans="1:9" x14ac:dyDescent="0.2">
      <c r="A42" t="s">
        <v>37</v>
      </c>
      <c r="B42" t="s">
        <v>43</v>
      </c>
      <c r="C42" t="s">
        <v>55</v>
      </c>
      <c r="D42" t="s">
        <v>68</v>
      </c>
      <c r="E42" s="56">
        <v>0</v>
      </c>
      <c r="F42" s="56">
        <v>0</v>
      </c>
      <c r="G42" s="55">
        <v>536</v>
      </c>
    </row>
    <row r="43" spans="1:9" x14ac:dyDescent="0.2">
      <c r="A43" t="s">
        <v>37</v>
      </c>
      <c r="B43" t="s">
        <v>43</v>
      </c>
      <c r="C43" t="s">
        <v>55</v>
      </c>
      <c r="D43" t="s">
        <v>72</v>
      </c>
      <c r="E43" s="55">
        <v>0</v>
      </c>
      <c r="F43" s="55">
        <v>0</v>
      </c>
      <c r="G43" s="55">
        <v>1039</v>
      </c>
    </row>
    <row r="44" spans="1:9" x14ac:dyDescent="0.2">
      <c r="A44" t="s">
        <v>37</v>
      </c>
      <c r="B44" t="s">
        <v>44</v>
      </c>
      <c r="C44" t="s">
        <v>56</v>
      </c>
      <c r="D44" t="s">
        <v>59</v>
      </c>
      <c r="E44" s="56">
        <v>0</v>
      </c>
      <c r="F44" s="56">
        <v>31</v>
      </c>
      <c r="G44" s="55">
        <v>1300</v>
      </c>
    </row>
    <row r="45" spans="1:9" x14ac:dyDescent="0.2">
      <c r="A45" t="s">
        <v>37</v>
      </c>
      <c r="B45" t="s">
        <v>45</v>
      </c>
      <c r="C45" t="s">
        <v>21</v>
      </c>
      <c r="D45" t="s">
        <v>21</v>
      </c>
      <c r="E45" s="55">
        <v>6621</v>
      </c>
      <c r="F45" s="55">
        <v>8056</v>
      </c>
      <c r="G45" s="55">
        <v>101321</v>
      </c>
    </row>
    <row r="46" spans="1:9" x14ac:dyDescent="0.2">
      <c r="A46" t="s">
        <v>37</v>
      </c>
      <c r="B46" t="s">
        <v>45</v>
      </c>
      <c r="C46" t="s">
        <v>52</v>
      </c>
      <c r="D46" t="s">
        <v>72</v>
      </c>
      <c r="E46" s="56">
        <v>0</v>
      </c>
      <c r="F46" s="56">
        <v>0</v>
      </c>
      <c r="G46" s="55">
        <v>4048</v>
      </c>
    </row>
    <row r="47" spans="1:9" x14ac:dyDescent="0.2">
      <c r="A47" t="s">
        <v>37</v>
      </c>
      <c r="B47" t="s">
        <v>46</v>
      </c>
      <c r="C47" t="s">
        <v>21</v>
      </c>
      <c r="D47" t="s">
        <v>21</v>
      </c>
      <c r="E47" s="55">
        <v>16943</v>
      </c>
      <c r="F47" s="55">
        <v>2664</v>
      </c>
      <c r="G47" s="55">
        <v>30665</v>
      </c>
    </row>
    <row r="48" spans="1:9" x14ac:dyDescent="0.2">
      <c r="A48" t="s">
        <v>37</v>
      </c>
      <c r="B48" t="s">
        <v>47</v>
      </c>
      <c r="C48" t="s">
        <v>21</v>
      </c>
      <c r="D48" t="s">
        <v>21</v>
      </c>
      <c r="E48" s="56">
        <v>0</v>
      </c>
      <c r="F48" s="56">
        <v>248</v>
      </c>
      <c r="G48" s="55">
        <v>908</v>
      </c>
    </row>
    <row r="49" spans="1:9" x14ac:dyDescent="0.2">
      <c r="A49" t="s">
        <v>37</v>
      </c>
      <c r="B49" t="s">
        <v>47</v>
      </c>
      <c r="C49" t="s">
        <v>52</v>
      </c>
      <c r="D49" t="s">
        <v>70</v>
      </c>
      <c r="E49" s="55">
        <v>0</v>
      </c>
      <c r="F49" s="55">
        <v>0</v>
      </c>
      <c r="G49" s="55">
        <v>4053</v>
      </c>
    </row>
    <row r="50" spans="1:9" x14ac:dyDescent="0.2">
      <c r="A50" t="s">
        <v>37</v>
      </c>
      <c r="B50" t="s">
        <v>48</v>
      </c>
      <c r="C50" t="s">
        <v>21</v>
      </c>
      <c r="D50" t="s">
        <v>21</v>
      </c>
      <c r="E50" s="55">
        <v>4192</v>
      </c>
      <c r="F50" s="55">
        <v>3860</v>
      </c>
      <c r="G50" s="55">
        <v>47070</v>
      </c>
    </row>
    <row r="51" spans="1:9" x14ac:dyDescent="0.2">
      <c r="A51" t="s">
        <v>37</v>
      </c>
      <c r="B51" t="s">
        <v>49</v>
      </c>
      <c r="C51" t="s">
        <v>21</v>
      </c>
      <c r="D51" t="s">
        <v>21</v>
      </c>
      <c r="E51" s="55">
        <v>0</v>
      </c>
      <c r="F51" s="55">
        <v>0</v>
      </c>
      <c r="G51" s="55">
        <v>0</v>
      </c>
    </row>
    <row r="52" spans="1:9" x14ac:dyDescent="0.2">
      <c r="A52" t="s">
        <v>37</v>
      </c>
      <c r="B52" t="s">
        <v>50</v>
      </c>
      <c r="C52" t="s">
        <v>21</v>
      </c>
      <c r="D52" t="s">
        <v>21</v>
      </c>
      <c r="E52" s="55">
        <v>5663</v>
      </c>
      <c r="F52" s="55">
        <v>4791</v>
      </c>
      <c r="G52" s="55">
        <v>67301</v>
      </c>
    </row>
    <row r="53" spans="1:9" x14ac:dyDescent="0.2">
      <c r="A53" t="s">
        <v>37</v>
      </c>
      <c r="B53" t="s">
        <v>50</v>
      </c>
      <c r="C53" t="s">
        <v>54</v>
      </c>
      <c r="D53" t="s">
        <v>72</v>
      </c>
      <c r="E53" s="56">
        <v>61</v>
      </c>
      <c r="F53" s="56">
        <v>21</v>
      </c>
      <c r="G53" s="56">
        <v>255</v>
      </c>
      <c r="H53" s="53"/>
    </row>
    <row r="54" spans="1:9" x14ac:dyDescent="0.2">
      <c r="A54" t="s">
        <v>37</v>
      </c>
      <c r="B54" t="s">
        <v>50</v>
      </c>
      <c r="C54" t="s">
        <v>55</v>
      </c>
      <c r="D54" t="s">
        <v>68</v>
      </c>
      <c r="E54" s="56">
        <v>0</v>
      </c>
      <c r="F54" s="56">
        <v>0</v>
      </c>
      <c r="G54" s="56">
        <v>893</v>
      </c>
    </row>
    <row r="55" spans="1:9" x14ac:dyDescent="0.2">
      <c r="A55" t="s">
        <v>37</v>
      </c>
      <c r="B55" t="s">
        <v>50</v>
      </c>
      <c r="C55" t="s">
        <v>55</v>
      </c>
      <c r="D55" t="s">
        <v>69</v>
      </c>
      <c r="E55" s="56">
        <v>165</v>
      </c>
      <c r="F55" s="56">
        <v>0</v>
      </c>
      <c r="G55" s="56">
        <v>320</v>
      </c>
      <c r="H55" s="55">
        <f>SUM(E39:G55)</f>
        <v>398043</v>
      </c>
      <c r="I55" s="56" t="s">
        <v>84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K53"/>
  <sheetViews>
    <sheetView workbookViewId="0"/>
  </sheetViews>
  <sheetFormatPr defaultRowHeight="12.75" x14ac:dyDescent="0.2"/>
  <cols>
    <col min="1" max="1" width="9.42578125" customWidth="1"/>
    <col min="2" max="2" width="26.85546875" bestFit="1" customWidth="1"/>
    <col min="3" max="3" width="15.42578125" bestFit="1" customWidth="1"/>
    <col min="4" max="4" width="9.85546875" customWidth="1"/>
    <col min="5" max="5" width="8.85546875" bestFit="1" customWidth="1"/>
    <col min="6" max="7" width="10.5703125" bestFit="1" customWidth="1"/>
    <col min="8" max="8" width="7.5703125" bestFit="1" customWidth="1"/>
    <col min="9" max="9" width="19.5703125" bestFit="1" customWidth="1"/>
    <col min="10" max="10" width="19.85546875" bestFit="1" customWidth="1"/>
    <col min="11" max="11" width="8.7109375" bestFit="1" customWidth="1"/>
    <col min="13" max="13" width="26.85546875" bestFit="1" customWidth="1"/>
    <col min="14" max="14" width="15.42578125" bestFit="1" customWidth="1"/>
    <col min="15" max="15" width="30.140625" bestFit="1" customWidth="1"/>
    <col min="16" max="16" width="7.85546875" bestFit="1" customWidth="1"/>
    <col min="17" max="17" width="8.85546875" bestFit="1" customWidth="1"/>
    <col min="18" max="18" width="10.5703125" bestFit="1" customWidth="1"/>
  </cols>
  <sheetData>
    <row r="1" spans="1:11" x14ac:dyDescent="0.2">
      <c r="A1" s="4" t="s">
        <v>77</v>
      </c>
      <c r="J1" t="s">
        <v>79</v>
      </c>
      <c r="K1" t="s">
        <v>80</v>
      </c>
    </row>
    <row r="2" spans="1:11" x14ac:dyDescent="0.2">
      <c r="A2" s="58" t="s">
        <v>73</v>
      </c>
      <c r="J2" t="s">
        <v>38</v>
      </c>
      <c r="K2" s="62">
        <f>SUM(D9:F9)</f>
        <v>622261</v>
      </c>
    </row>
    <row r="3" spans="1:11" x14ac:dyDescent="0.2">
      <c r="A3" s="58" t="s">
        <v>74</v>
      </c>
      <c r="J3" t="s">
        <v>39</v>
      </c>
      <c r="K3" s="62">
        <f>SUM(D10:F10)</f>
        <v>183942</v>
      </c>
    </row>
    <row r="4" spans="1:11" x14ac:dyDescent="0.2">
      <c r="A4" s="58" t="s">
        <v>75</v>
      </c>
      <c r="J4" t="s">
        <v>2</v>
      </c>
      <c r="K4" s="67">
        <v>37959</v>
      </c>
    </row>
    <row r="5" spans="1:11" x14ac:dyDescent="0.2">
      <c r="A5" s="58" t="s">
        <v>76</v>
      </c>
      <c r="J5" t="s">
        <v>3</v>
      </c>
      <c r="K5" s="62">
        <f>SUM(D8:F8)</f>
        <v>22645</v>
      </c>
    </row>
    <row r="6" spans="1:11" ht="13.5" thickBot="1" x14ac:dyDescent="0.25">
      <c r="A6" s="4"/>
      <c r="K6" s="66">
        <f>SUM(K2:K5)</f>
        <v>866807</v>
      </c>
    </row>
    <row r="7" spans="1:11" s="4" customFormat="1" x14ac:dyDescent="0.2">
      <c r="A7" s="59" t="s">
        <v>32</v>
      </c>
      <c r="B7" s="59" t="s">
        <v>33</v>
      </c>
      <c r="C7" s="59" t="s">
        <v>40</v>
      </c>
      <c r="D7" s="59" t="s">
        <v>34</v>
      </c>
      <c r="E7" s="59" t="s">
        <v>35</v>
      </c>
      <c r="F7" s="59" t="s">
        <v>36</v>
      </c>
      <c r="K7" s="63"/>
    </row>
    <row r="8" spans="1:11" x14ac:dyDescent="0.2">
      <c r="A8" s="59" t="s">
        <v>37</v>
      </c>
      <c r="B8" s="60" t="s">
        <v>38</v>
      </c>
      <c r="C8" s="60" t="s">
        <v>3</v>
      </c>
      <c r="D8" s="60">
        <v>0</v>
      </c>
      <c r="E8" s="60">
        <v>0</v>
      </c>
      <c r="F8" s="61">
        <v>22645</v>
      </c>
      <c r="G8" s="53"/>
      <c r="J8" t="s">
        <v>42</v>
      </c>
      <c r="K8" s="64">
        <f>H53/K6</f>
        <v>0.4003740163611969</v>
      </c>
    </row>
    <row r="9" spans="1:11" x14ac:dyDescent="0.2">
      <c r="A9" s="59" t="s">
        <v>37</v>
      </c>
      <c r="B9" s="60" t="s">
        <v>38</v>
      </c>
      <c r="C9" s="60" t="s">
        <v>41</v>
      </c>
      <c r="D9" s="61">
        <v>57474</v>
      </c>
      <c r="E9" s="61">
        <v>87103</v>
      </c>
      <c r="F9" s="61">
        <v>477684</v>
      </c>
      <c r="G9" s="53"/>
      <c r="J9" t="s">
        <v>78</v>
      </c>
      <c r="K9" s="64">
        <f>H38/K6</f>
        <v>0.42690241310926191</v>
      </c>
    </row>
    <row r="10" spans="1:11" x14ac:dyDescent="0.2">
      <c r="A10" s="59" t="s">
        <v>37</v>
      </c>
      <c r="B10" s="60" t="s">
        <v>39</v>
      </c>
      <c r="C10" s="60" t="s">
        <v>41</v>
      </c>
      <c r="D10" s="61">
        <v>9908</v>
      </c>
      <c r="E10" s="61">
        <v>26171</v>
      </c>
      <c r="F10" s="61">
        <v>147863</v>
      </c>
      <c r="G10" s="53"/>
      <c r="J10" t="s">
        <v>81</v>
      </c>
      <c r="K10" s="64">
        <f>H24/K6</f>
        <v>6.739793287317708E-2</v>
      </c>
    </row>
    <row r="11" spans="1:11" x14ac:dyDescent="0.2">
      <c r="A11" s="4"/>
    </row>
    <row r="12" spans="1:11" x14ac:dyDescent="0.2">
      <c r="A12" s="4" t="s">
        <v>82</v>
      </c>
      <c r="J12" s="65"/>
    </row>
    <row r="13" spans="1:11" x14ac:dyDescent="0.2">
      <c r="A13" s="58" t="s">
        <v>73</v>
      </c>
    </row>
    <row r="14" spans="1:11" x14ac:dyDescent="0.2">
      <c r="A14" s="58" t="s">
        <v>83</v>
      </c>
    </row>
    <row r="15" spans="1:11" x14ac:dyDescent="0.2">
      <c r="A15" s="58" t="s">
        <v>75</v>
      </c>
    </row>
    <row r="16" spans="1:11" x14ac:dyDescent="0.2">
      <c r="A16" s="58" t="s">
        <v>76</v>
      </c>
    </row>
    <row r="17" spans="1:9" x14ac:dyDescent="0.2">
      <c r="A17" s="4"/>
    </row>
    <row r="18" spans="1:9" s="4" customFormat="1" x14ac:dyDescent="0.2">
      <c r="A18" s="4" t="s">
        <v>32</v>
      </c>
      <c r="B18" s="4" t="s">
        <v>42</v>
      </c>
      <c r="C18" s="4" t="s">
        <v>51</v>
      </c>
      <c r="D18" s="4" t="s">
        <v>57</v>
      </c>
      <c r="E18" s="4" t="s">
        <v>34</v>
      </c>
      <c r="F18" s="4" t="s">
        <v>35</v>
      </c>
      <c r="G18" s="4" t="s">
        <v>36</v>
      </c>
    </row>
    <row r="19" spans="1:9" x14ac:dyDescent="0.2">
      <c r="A19" t="s">
        <v>37</v>
      </c>
      <c r="B19" t="s">
        <v>21</v>
      </c>
      <c r="C19" t="s">
        <v>21</v>
      </c>
      <c r="D19" t="s">
        <v>21</v>
      </c>
      <c r="E19" s="53">
        <v>7176</v>
      </c>
      <c r="F19" s="53">
        <v>16987</v>
      </c>
      <c r="G19" s="53">
        <v>28883</v>
      </c>
    </row>
    <row r="20" spans="1:9" x14ac:dyDescent="0.2">
      <c r="A20" t="s">
        <v>37</v>
      </c>
      <c r="B20" t="s">
        <v>21</v>
      </c>
      <c r="C20" t="s">
        <v>52</v>
      </c>
      <c r="D20" t="s">
        <v>58</v>
      </c>
      <c r="E20" s="57">
        <v>166</v>
      </c>
      <c r="F20" s="57">
        <v>0</v>
      </c>
      <c r="G20" s="54">
        <v>5709</v>
      </c>
    </row>
    <row r="21" spans="1:9" x14ac:dyDescent="0.2">
      <c r="A21" t="s">
        <v>37</v>
      </c>
      <c r="B21" t="s">
        <v>21</v>
      </c>
      <c r="C21" t="s">
        <v>52</v>
      </c>
      <c r="D21" t="s">
        <v>60</v>
      </c>
      <c r="E21" s="57">
        <v>259</v>
      </c>
      <c r="F21" s="57">
        <v>0</v>
      </c>
      <c r="G21" s="54">
        <v>11595</v>
      </c>
    </row>
    <row r="22" spans="1:9" x14ac:dyDescent="0.2">
      <c r="A22" t="s">
        <v>37</v>
      </c>
      <c r="B22" t="s">
        <v>21</v>
      </c>
      <c r="C22" t="s">
        <v>52</v>
      </c>
      <c r="D22" t="s">
        <v>62</v>
      </c>
      <c r="E22" s="57">
        <v>260</v>
      </c>
      <c r="F22" s="57">
        <v>323</v>
      </c>
      <c r="G22" s="54">
        <v>25294</v>
      </c>
    </row>
    <row r="23" spans="1:9" x14ac:dyDescent="0.2">
      <c r="A23" t="s">
        <v>37</v>
      </c>
      <c r="B23" t="s">
        <v>21</v>
      </c>
      <c r="C23" t="s">
        <v>52</v>
      </c>
      <c r="D23" t="s">
        <v>70</v>
      </c>
      <c r="E23" s="57">
        <v>0</v>
      </c>
      <c r="F23" s="57">
        <v>0</v>
      </c>
      <c r="G23" s="54">
        <v>2114</v>
      </c>
    </row>
    <row r="24" spans="1:9" x14ac:dyDescent="0.2">
      <c r="A24" t="s">
        <v>37</v>
      </c>
      <c r="B24" t="s">
        <v>21</v>
      </c>
      <c r="C24" t="s">
        <v>52</v>
      </c>
      <c r="D24" t="s">
        <v>71</v>
      </c>
      <c r="E24" s="57">
        <v>838</v>
      </c>
      <c r="F24" s="57">
        <v>0</v>
      </c>
      <c r="G24" s="54">
        <v>11863</v>
      </c>
      <c r="H24" s="54">
        <f>SUM(E20:G24)</f>
        <v>58421</v>
      </c>
      <c r="I24" s="57" t="s">
        <v>52</v>
      </c>
    </row>
    <row r="25" spans="1:9" x14ac:dyDescent="0.2">
      <c r="A25" t="s">
        <v>37</v>
      </c>
      <c r="B25" t="s">
        <v>21</v>
      </c>
      <c r="C25" t="s">
        <v>52</v>
      </c>
      <c r="D25" t="s">
        <v>72</v>
      </c>
      <c r="E25" s="68">
        <v>2851</v>
      </c>
      <c r="F25" s="68">
        <v>2246</v>
      </c>
      <c r="G25" s="68">
        <v>24740</v>
      </c>
    </row>
    <row r="26" spans="1:9" x14ac:dyDescent="0.2">
      <c r="A26" t="s">
        <v>37</v>
      </c>
      <c r="B26" t="s">
        <v>21</v>
      </c>
      <c r="C26" t="s">
        <v>53</v>
      </c>
      <c r="D26" t="s">
        <v>61</v>
      </c>
      <c r="E26">
        <v>9</v>
      </c>
      <c r="F26">
        <v>0</v>
      </c>
      <c r="G26">
        <v>94</v>
      </c>
    </row>
    <row r="27" spans="1:9" x14ac:dyDescent="0.2">
      <c r="A27" t="s">
        <v>37</v>
      </c>
      <c r="B27" t="s">
        <v>21</v>
      </c>
      <c r="C27" t="s">
        <v>53</v>
      </c>
      <c r="D27" t="s">
        <v>64</v>
      </c>
      <c r="E27">
        <v>0</v>
      </c>
      <c r="F27">
        <v>0</v>
      </c>
      <c r="G27">
        <v>52</v>
      </c>
    </row>
    <row r="28" spans="1:9" x14ac:dyDescent="0.2">
      <c r="A28" t="s">
        <v>37</v>
      </c>
      <c r="B28" t="s">
        <v>21</v>
      </c>
      <c r="C28" t="s">
        <v>53</v>
      </c>
      <c r="D28" t="s">
        <v>42</v>
      </c>
      <c r="E28">
        <v>0</v>
      </c>
      <c r="F28">
        <v>0</v>
      </c>
      <c r="G28">
        <v>137</v>
      </c>
    </row>
    <row r="29" spans="1:9" x14ac:dyDescent="0.2">
      <c r="A29" t="s">
        <v>37</v>
      </c>
      <c r="B29" t="s">
        <v>21</v>
      </c>
      <c r="C29" t="s">
        <v>54</v>
      </c>
      <c r="D29" t="s">
        <v>65</v>
      </c>
      <c r="E29" s="69">
        <v>0</v>
      </c>
      <c r="F29" s="69">
        <v>427</v>
      </c>
      <c r="G29" s="69">
        <v>536</v>
      </c>
    </row>
    <row r="30" spans="1:9" x14ac:dyDescent="0.2">
      <c r="A30" t="s">
        <v>37</v>
      </c>
      <c r="B30" t="s">
        <v>21</v>
      </c>
      <c r="C30" t="s">
        <v>54</v>
      </c>
      <c r="D30" t="s">
        <v>72</v>
      </c>
      <c r="E30" s="68">
        <v>17706</v>
      </c>
      <c r="F30" s="68">
        <v>27374</v>
      </c>
      <c r="G30" s="68">
        <v>70361</v>
      </c>
    </row>
    <row r="31" spans="1:9" x14ac:dyDescent="0.2">
      <c r="A31" t="s">
        <v>37</v>
      </c>
      <c r="B31" t="s">
        <v>21</v>
      </c>
      <c r="C31" t="s">
        <v>55</v>
      </c>
      <c r="D31" t="s">
        <v>66</v>
      </c>
      <c r="E31" s="69">
        <v>0</v>
      </c>
      <c r="F31" s="69">
        <v>0</v>
      </c>
      <c r="G31" s="68">
        <v>3652</v>
      </c>
    </row>
    <row r="32" spans="1:9" x14ac:dyDescent="0.2">
      <c r="A32" t="s">
        <v>37</v>
      </c>
      <c r="B32" t="s">
        <v>21</v>
      </c>
      <c r="C32" t="s">
        <v>55</v>
      </c>
      <c r="D32" t="s">
        <v>67</v>
      </c>
      <c r="E32" s="69">
        <v>0</v>
      </c>
      <c r="F32" s="69">
        <v>0</v>
      </c>
      <c r="G32" s="69">
        <v>467</v>
      </c>
    </row>
    <row r="33" spans="1:9" x14ac:dyDescent="0.2">
      <c r="A33" t="s">
        <v>37</v>
      </c>
      <c r="B33" t="s">
        <v>21</v>
      </c>
      <c r="C33" t="s">
        <v>55</v>
      </c>
      <c r="D33" t="s">
        <v>68</v>
      </c>
      <c r="E33" s="69">
        <v>833</v>
      </c>
      <c r="F33" s="68">
        <v>1467</v>
      </c>
      <c r="G33" s="68">
        <v>24674</v>
      </c>
    </row>
    <row r="34" spans="1:9" x14ac:dyDescent="0.2">
      <c r="A34" t="s">
        <v>37</v>
      </c>
      <c r="B34" t="s">
        <v>21</v>
      </c>
      <c r="C34" t="s">
        <v>55</v>
      </c>
      <c r="D34" t="s">
        <v>69</v>
      </c>
      <c r="E34" s="68">
        <v>3458</v>
      </c>
      <c r="F34" s="68">
        <v>13991</v>
      </c>
      <c r="G34" s="68">
        <v>61294</v>
      </c>
    </row>
    <row r="35" spans="1:9" s="58" customFormat="1" x14ac:dyDescent="0.2">
      <c r="A35" s="58" t="s">
        <v>37</v>
      </c>
      <c r="B35" s="58" t="s">
        <v>21</v>
      </c>
      <c r="C35" s="58" t="s">
        <v>55</v>
      </c>
      <c r="D35" s="58" t="s">
        <v>72</v>
      </c>
      <c r="E35" s="70">
        <v>1197</v>
      </c>
      <c r="F35" s="70">
        <v>2655</v>
      </c>
      <c r="G35" s="70">
        <v>13394</v>
      </c>
    </row>
    <row r="36" spans="1:9" x14ac:dyDescent="0.2">
      <c r="A36" t="s">
        <v>37</v>
      </c>
      <c r="B36" t="s">
        <v>21</v>
      </c>
      <c r="C36" t="s">
        <v>56</v>
      </c>
      <c r="D36" t="s">
        <v>59</v>
      </c>
      <c r="E36" s="68">
        <v>3765</v>
      </c>
      <c r="F36" s="68">
        <v>7830</v>
      </c>
      <c r="G36" s="68">
        <v>83490</v>
      </c>
    </row>
    <row r="37" spans="1:9" x14ac:dyDescent="0.2">
      <c r="A37" t="s">
        <v>37</v>
      </c>
      <c r="B37" t="s">
        <v>21</v>
      </c>
      <c r="C37" t="s">
        <v>56</v>
      </c>
      <c r="D37" t="s">
        <v>63</v>
      </c>
      <c r="E37" s="69">
        <v>0</v>
      </c>
      <c r="F37" s="69">
        <v>0</v>
      </c>
      <c r="G37" s="69">
        <v>0</v>
      </c>
    </row>
    <row r="38" spans="1:9" x14ac:dyDescent="0.2">
      <c r="A38" t="s">
        <v>37</v>
      </c>
      <c r="B38" t="s">
        <v>21</v>
      </c>
      <c r="C38" t="s">
        <v>56</v>
      </c>
      <c r="D38" t="s">
        <v>72</v>
      </c>
      <c r="E38" s="69">
        <v>0</v>
      </c>
      <c r="F38" s="69">
        <v>152</v>
      </c>
      <c r="G38" s="68">
        <v>1482</v>
      </c>
      <c r="H38" s="68">
        <f>SUM(E25:G25)+SUM(E29:G38)</f>
        <v>370042</v>
      </c>
      <c r="I38" s="69" t="s">
        <v>85</v>
      </c>
    </row>
    <row r="39" spans="1:9" x14ac:dyDescent="0.2">
      <c r="A39" t="s">
        <v>37</v>
      </c>
      <c r="B39" t="s">
        <v>43</v>
      </c>
      <c r="C39" t="s">
        <v>21</v>
      </c>
      <c r="D39" t="s">
        <v>21</v>
      </c>
      <c r="E39" s="55">
        <v>9858</v>
      </c>
      <c r="F39" s="55">
        <v>10314</v>
      </c>
      <c r="G39" s="55">
        <v>54287</v>
      </c>
    </row>
    <row r="40" spans="1:9" x14ac:dyDescent="0.2">
      <c r="A40" t="s">
        <v>37</v>
      </c>
      <c r="B40" t="s">
        <v>43</v>
      </c>
      <c r="C40" t="s">
        <v>54</v>
      </c>
      <c r="D40" t="s">
        <v>72</v>
      </c>
      <c r="E40" s="56">
        <v>0</v>
      </c>
      <c r="F40" s="56">
        <v>0</v>
      </c>
      <c r="G40" s="56">
        <v>108</v>
      </c>
    </row>
    <row r="41" spans="1:9" x14ac:dyDescent="0.2">
      <c r="A41" t="s">
        <v>37</v>
      </c>
      <c r="B41" t="s">
        <v>43</v>
      </c>
      <c r="C41" t="s">
        <v>55</v>
      </c>
      <c r="D41" t="s">
        <v>69</v>
      </c>
      <c r="E41" s="56">
        <v>78</v>
      </c>
      <c r="F41" s="56">
        <v>216</v>
      </c>
      <c r="G41" s="56">
        <v>973</v>
      </c>
    </row>
    <row r="42" spans="1:9" x14ac:dyDescent="0.2">
      <c r="A42" t="s">
        <v>37</v>
      </c>
      <c r="B42" t="s">
        <v>44</v>
      </c>
      <c r="C42" t="s">
        <v>56</v>
      </c>
      <c r="D42" t="s">
        <v>59</v>
      </c>
      <c r="E42" s="56">
        <v>166</v>
      </c>
      <c r="F42" s="56">
        <v>0</v>
      </c>
      <c r="G42" s="55">
        <v>2137</v>
      </c>
    </row>
    <row r="43" spans="1:9" x14ac:dyDescent="0.2">
      <c r="A43" t="s">
        <v>37</v>
      </c>
      <c r="B43" t="s">
        <v>45</v>
      </c>
      <c r="C43" t="s">
        <v>21</v>
      </c>
      <c r="D43" t="s">
        <v>21</v>
      </c>
      <c r="E43" s="55">
        <v>8433</v>
      </c>
      <c r="F43" s="55">
        <v>11698</v>
      </c>
      <c r="G43" s="55">
        <v>96144</v>
      </c>
    </row>
    <row r="44" spans="1:9" x14ac:dyDescent="0.2">
      <c r="A44" t="s">
        <v>37</v>
      </c>
      <c r="B44" t="s">
        <v>45</v>
      </c>
      <c r="C44" t="s">
        <v>54</v>
      </c>
      <c r="D44" t="s">
        <v>72</v>
      </c>
      <c r="E44" s="56">
        <v>217</v>
      </c>
      <c r="F44" s="56">
        <v>0</v>
      </c>
      <c r="G44" s="56">
        <v>940</v>
      </c>
    </row>
    <row r="45" spans="1:9" x14ac:dyDescent="0.2">
      <c r="A45" t="s">
        <v>37</v>
      </c>
      <c r="B45" t="s">
        <v>46</v>
      </c>
      <c r="C45" t="s">
        <v>21</v>
      </c>
      <c r="D45" t="s">
        <v>21</v>
      </c>
      <c r="E45" s="55">
        <v>3567</v>
      </c>
      <c r="F45" s="55">
        <v>4025</v>
      </c>
      <c r="G45" s="55">
        <v>44663</v>
      </c>
    </row>
    <row r="46" spans="1:9" x14ac:dyDescent="0.2">
      <c r="A46" t="s">
        <v>37</v>
      </c>
      <c r="B46" t="s">
        <v>46</v>
      </c>
      <c r="C46" t="s">
        <v>56</v>
      </c>
      <c r="D46" t="s">
        <v>59</v>
      </c>
      <c r="E46" s="56">
        <v>0</v>
      </c>
      <c r="F46" s="56">
        <v>100</v>
      </c>
      <c r="G46" s="56">
        <v>225</v>
      </c>
    </row>
    <row r="47" spans="1:9" x14ac:dyDescent="0.2">
      <c r="A47" t="s">
        <v>37</v>
      </c>
      <c r="B47" t="s">
        <v>47</v>
      </c>
      <c r="C47" t="s">
        <v>21</v>
      </c>
      <c r="D47" t="s">
        <v>21</v>
      </c>
      <c r="E47" s="56">
        <v>248</v>
      </c>
      <c r="F47" s="56">
        <v>0</v>
      </c>
      <c r="G47" s="56">
        <v>0</v>
      </c>
    </row>
    <row r="48" spans="1:9" x14ac:dyDescent="0.2">
      <c r="A48" t="s">
        <v>37</v>
      </c>
      <c r="B48" t="s">
        <v>47</v>
      </c>
      <c r="C48" t="s">
        <v>52</v>
      </c>
      <c r="D48" t="s">
        <v>70</v>
      </c>
      <c r="E48" s="56">
        <v>166</v>
      </c>
      <c r="F48" s="56">
        <v>281</v>
      </c>
      <c r="G48" s="55">
        <v>1039</v>
      </c>
    </row>
    <row r="49" spans="1:9" x14ac:dyDescent="0.2">
      <c r="A49" t="s">
        <v>37</v>
      </c>
      <c r="B49" t="s">
        <v>48</v>
      </c>
      <c r="C49" t="s">
        <v>21</v>
      </c>
      <c r="D49" t="s">
        <v>21</v>
      </c>
      <c r="E49" s="55">
        <v>4084</v>
      </c>
      <c r="F49" s="55">
        <v>2119</v>
      </c>
      <c r="G49" s="55">
        <v>48482</v>
      </c>
    </row>
    <row r="50" spans="1:9" x14ac:dyDescent="0.2">
      <c r="A50" t="s">
        <v>37</v>
      </c>
      <c r="B50" t="s">
        <v>49</v>
      </c>
      <c r="C50" t="s">
        <v>21</v>
      </c>
      <c r="D50" t="s">
        <v>21</v>
      </c>
      <c r="E50" s="56">
        <v>0</v>
      </c>
      <c r="F50" s="56">
        <v>0</v>
      </c>
      <c r="G50" s="56">
        <v>0</v>
      </c>
    </row>
    <row r="51" spans="1:9" x14ac:dyDescent="0.2">
      <c r="A51" t="s">
        <v>37</v>
      </c>
      <c r="B51" t="s">
        <v>50</v>
      </c>
      <c r="C51" t="s">
        <v>21</v>
      </c>
      <c r="D51" t="s">
        <v>21</v>
      </c>
      <c r="E51" s="55">
        <v>1967</v>
      </c>
      <c r="F51" s="55">
        <v>11016</v>
      </c>
      <c r="G51" s="55">
        <v>28696</v>
      </c>
    </row>
    <row r="52" spans="1:9" x14ac:dyDescent="0.2">
      <c r="A52" t="s">
        <v>37</v>
      </c>
      <c r="B52" t="s">
        <v>50</v>
      </c>
      <c r="C52" t="s">
        <v>54</v>
      </c>
      <c r="D52" t="s">
        <v>72</v>
      </c>
      <c r="E52" s="56">
        <v>0</v>
      </c>
      <c r="F52" s="56">
        <v>53</v>
      </c>
      <c r="G52" s="56">
        <v>0</v>
      </c>
    </row>
    <row r="53" spans="1:9" x14ac:dyDescent="0.2">
      <c r="A53" t="s">
        <v>37</v>
      </c>
      <c r="B53" t="s">
        <v>50</v>
      </c>
      <c r="C53" t="s">
        <v>55</v>
      </c>
      <c r="D53" t="s">
        <v>69</v>
      </c>
      <c r="E53" s="56">
        <v>82</v>
      </c>
      <c r="F53" s="56">
        <v>0</v>
      </c>
      <c r="G53" s="56">
        <v>665</v>
      </c>
      <c r="H53" s="55">
        <f>SUM(E39:G53)</f>
        <v>347047</v>
      </c>
      <c r="I53" s="56" t="s">
        <v>84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3:S490"/>
  <sheetViews>
    <sheetView showGridLines="0" zoomScale="130" workbookViewId="0"/>
  </sheetViews>
  <sheetFormatPr defaultColWidth="9.140625" defaultRowHeight="15" x14ac:dyDescent="0.3"/>
  <cols>
    <col min="1" max="1" width="8.85546875" style="5" bestFit="1" customWidth="1"/>
    <col min="2" max="2" width="17.5703125" style="5" bestFit="1" customWidth="1"/>
    <col min="3" max="3" width="11.5703125" style="5" bestFit="1" customWidth="1"/>
    <col min="4" max="5" width="9" style="5" bestFit="1" customWidth="1"/>
    <col min="6" max="6" width="10.7109375" style="5" bestFit="1" customWidth="1"/>
    <col min="7" max="7" width="9" style="5" bestFit="1" customWidth="1"/>
    <col min="8" max="8" width="7.5703125" style="5" bestFit="1" customWidth="1"/>
    <col min="9" max="9" width="3.28515625" style="5" customWidth="1"/>
    <col min="10" max="10" width="9.42578125" style="5" customWidth="1"/>
    <col min="11" max="11" width="8.140625" style="5" bestFit="1" customWidth="1"/>
    <col min="12" max="13" width="10" style="5" customWidth="1"/>
    <col min="14" max="16384" width="9.140625" style="5"/>
  </cols>
  <sheetData>
    <row r="3" spans="1:13" x14ac:dyDescent="0.3">
      <c r="B3" s="536" t="s">
        <v>4</v>
      </c>
      <c r="C3" s="533" t="s">
        <v>5</v>
      </c>
      <c r="D3" s="533"/>
      <c r="E3" s="533"/>
      <c r="F3" s="532" t="s">
        <v>6</v>
      </c>
      <c r="G3" s="532"/>
      <c r="H3" s="532"/>
      <c r="I3" s="8"/>
      <c r="J3" s="8"/>
    </row>
    <row r="4" spans="1:13" ht="30" customHeight="1" x14ac:dyDescent="0.3">
      <c r="B4" s="536"/>
      <c r="C4" s="6" t="s">
        <v>7</v>
      </c>
      <c r="D4" s="6" t="s">
        <v>8</v>
      </c>
      <c r="E4" s="6" t="s">
        <v>9</v>
      </c>
      <c r="F4" s="7" t="s">
        <v>7</v>
      </c>
      <c r="G4" s="7" t="s">
        <v>8</v>
      </c>
      <c r="H4" s="7" t="s">
        <v>9</v>
      </c>
      <c r="I4" s="8"/>
      <c r="J4" s="8"/>
      <c r="L4" s="532" t="s">
        <v>10</v>
      </c>
      <c r="M4" s="532"/>
    </row>
    <row r="5" spans="1:13" ht="15.75" customHeight="1" x14ac:dyDescent="0.3">
      <c r="A5" s="530">
        <v>39264</v>
      </c>
      <c r="B5" s="9" t="s">
        <v>11</v>
      </c>
      <c r="C5" s="10"/>
      <c r="D5" s="10"/>
      <c r="E5" s="10"/>
      <c r="F5" s="11"/>
      <c r="G5" s="11"/>
      <c r="H5" s="11"/>
      <c r="I5" s="12"/>
      <c r="J5" s="12"/>
    </row>
    <row r="6" spans="1:13" x14ac:dyDescent="0.3">
      <c r="A6" s="531"/>
      <c r="B6" s="9" t="s">
        <v>12</v>
      </c>
      <c r="C6" s="13">
        <v>4500</v>
      </c>
      <c r="D6" s="14">
        <v>356831</v>
      </c>
      <c r="E6" s="14">
        <v>356876</v>
      </c>
      <c r="F6" s="15">
        <v>1</v>
      </c>
      <c r="G6" s="15">
        <v>904</v>
      </c>
      <c r="H6" s="15">
        <v>905</v>
      </c>
      <c r="I6" s="16"/>
      <c r="J6" s="16"/>
    </row>
    <row r="7" spans="1:13" x14ac:dyDescent="0.3">
      <c r="A7" s="531"/>
      <c r="B7" s="9" t="s">
        <v>13</v>
      </c>
      <c r="C7" s="13">
        <v>13900</v>
      </c>
      <c r="D7" s="14">
        <v>38431</v>
      </c>
      <c r="E7" s="14">
        <v>38570</v>
      </c>
      <c r="F7" s="15">
        <v>1</v>
      </c>
      <c r="G7" s="15">
        <v>135</v>
      </c>
      <c r="H7" s="15">
        <v>136</v>
      </c>
      <c r="I7" s="16"/>
      <c r="J7" s="16"/>
    </row>
    <row r="8" spans="1:13" x14ac:dyDescent="0.3">
      <c r="A8" s="531"/>
      <c r="B8" s="9" t="s">
        <v>14</v>
      </c>
      <c r="C8" s="13">
        <v>7700</v>
      </c>
      <c r="D8" s="14">
        <v>112010</v>
      </c>
      <c r="E8" s="14">
        <v>112087</v>
      </c>
      <c r="F8" s="15">
        <v>1</v>
      </c>
      <c r="G8" s="15">
        <v>54</v>
      </c>
      <c r="H8" s="15">
        <v>55</v>
      </c>
      <c r="I8" s="16"/>
      <c r="J8" s="16"/>
    </row>
    <row r="9" spans="1:13" x14ac:dyDescent="0.3">
      <c r="A9" s="531"/>
      <c r="B9" s="9" t="s">
        <v>15</v>
      </c>
      <c r="C9" s="13">
        <v>45300</v>
      </c>
      <c r="D9" s="14">
        <v>99981</v>
      </c>
      <c r="E9" s="14">
        <v>100434</v>
      </c>
      <c r="F9" s="15">
        <v>35</v>
      </c>
      <c r="G9" s="15">
        <v>51</v>
      </c>
      <c r="H9" s="15">
        <v>86</v>
      </c>
      <c r="I9" s="16"/>
      <c r="J9" s="16"/>
    </row>
    <row r="10" spans="1:13" x14ac:dyDescent="0.3">
      <c r="A10" s="531"/>
      <c r="B10" s="9" t="s">
        <v>16</v>
      </c>
      <c r="C10" s="17"/>
      <c r="D10" s="9"/>
      <c r="E10" s="9"/>
      <c r="F10" s="11"/>
      <c r="G10" s="11"/>
      <c r="H10" s="11"/>
      <c r="I10" s="12"/>
      <c r="J10" s="12"/>
    </row>
    <row r="11" spans="1:13" x14ac:dyDescent="0.3">
      <c r="A11" s="531"/>
      <c r="B11" s="18" t="s">
        <v>17</v>
      </c>
      <c r="C11" s="19">
        <v>71400</v>
      </c>
      <c r="D11" s="20">
        <v>607253</v>
      </c>
      <c r="E11" s="20">
        <v>607967</v>
      </c>
      <c r="F11" s="21">
        <v>38</v>
      </c>
      <c r="G11" s="22">
        <v>1144</v>
      </c>
      <c r="H11" s="22">
        <v>1182</v>
      </c>
      <c r="I11" s="23"/>
      <c r="J11" s="23"/>
    </row>
    <row r="12" spans="1:13" x14ac:dyDescent="0.3">
      <c r="A12" s="531"/>
      <c r="B12" s="9"/>
      <c r="C12" s="9"/>
      <c r="D12" s="9"/>
      <c r="E12" s="9"/>
      <c r="F12" s="11"/>
      <c r="G12" s="11"/>
      <c r="H12" s="11"/>
      <c r="I12" s="12"/>
      <c r="J12" s="12"/>
    </row>
    <row r="13" spans="1:13" x14ac:dyDescent="0.3">
      <c r="A13" s="531"/>
      <c r="B13" s="9" t="s">
        <v>2</v>
      </c>
      <c r="C13" s="14">
        <v>50720</v>
      </c>
      <c r="D13" s="14">
        <v>234458</v>
      </c>
      <c r="E13" s="14">
        <v>285178</v>
      </c>
      <c r="F13" s="15">
        <v>16</v>
      </c>
      <c r="G13" s="15">
        <v>27</v>
      </c>
      <c r="H13" s="15">
        <v>43</v>
      </c>
      <c r="I13" s="16"/>
      <c r="J13" s="16"/>
    </row>
    <row r="14" spans="1:13" x14ac:dyDescent="0.3">
      <c r="A14" s="531"/>
      <c r="B14" s="9" t="s">
        <v>18</v>
      </c>
      <c r="C14" s="14">
        <v>2910</v>
      </c>
      <c r="D14" s="14">
        <v>31764</v>
      </c>
      <c r="E14" s="14">
        <v>34674</v>
      </c>
      <c r="F14" s="15">
        <v>35</v>
      </c>
      <c r="G14" s="15">
        <v>51</v>
      </c>
      <c r="H14" s="15">
        <v>86</v>
      </c>
      <c r="I14" s="16"/>
      <c r="J14" s="16"/>
    </row>
    <row r="15" spans="1:13" x14ac:dyDescent="0.3">
      <c r="A15" s="531"/>
      <c r="B15" s="9"/>
      <c r="C15" s="9"/>
      <c r="D15" s="9"/>
      <c r="E15" s="9"/>
      <c r="F15" s="11"/>
      <c r="G15" s="11"/>
      <c r="H15" s="11"/>
      <c r="I15" s="12"/>
      <c r="J15" s="12"/>
    </row>
    <row r="16" spans="1:13" x14ac:dyDescent="0.3">
      <c r="A16" s="531"/>
      <c r="B16" s="18" t="s">
        <v>9</v>
      </c>
      <c r="C16" s="20">
        <v>54344</v>
      </c>
      <c r="D16" s="20">
        <v>873475</v>
      </c>
      <c r="E16" s="20">
        <v>927819</v>
      </c>
      <c r="F16" s="21">
        <v>89</v>
      </c>
      <c r="G16" s="22">
        <v>1222</v>
      </c>
      <c r="H16" s="22">
        <v>1311</v>
      </c>
      <c r="I16" s="23"/>
      <c r="J16" s="23"/>
    </row>
    <row r="19" spans="1:13" x14ac:dyDescent="0.3">
      <c r="B19" s="536" t="s">
        <v>4</v>
      </c>
      <c r="C19" s="533" t="s">
        <v>5</v>
      </c>
      <c r="D19" s="533"/>
      <c r="E19" s="533"/>
      <c r="F19" s="532" t="s">
        <v>6</v>
      </c>
      <c r="G19" s="532"/>
      <c r="H19" s="532"/>
      <c r="I19" s="8"/>
      <c r="J19" s="8"/>
    </row>
    <row r="20" spans="1:13" ht="30" customHeight="1" x14ac:dyDescent="0.3">
      <c r="B20" s="536"/>
      <c r="C20" s="6" t="s">
        <v>7</v>
      </c>
      <c r="D20" s="6" t="s">
        <v>8</v>
      </c>
      <c r="E20" s="6" t="s">
        <v>9</v>
      </c>
      <c r="F20" s="7" t="s">
        <v>7</v>
      </c>
      <c r="G20" s="7" t="s">
        <v>8</v>
      </c>
      <c r="H20" s="7" t="s">
        <v>9</v>
      </c>
      <c r="I20" s="8"/>
      <c r="J20" s="6" t="s">
        <v>19</v>
      </c>
      <c r="K20" s="6" t="s">
        <v>20</v>
      </c>
      <c r="L20" s="532" t="s">
        <v>10</v>
      </c>
      <c r="M20" s="532"/>
    </row>
    <row r="21" spans="1:13" x14ac:dyDescent="0.3">
      <c r="A21" s="530">
        <v>39295</v>
      </c>
      <c r="B21" s="9" t="s">
        <v>11</v>
      </c>
      <c r="C21" s="10"/>
      <c r="D21" s="10"/>
      <c r="E21" s="10"/>
      <c r="F21" s="11"/>
      <c r="G21" s="11"/>
      <c r="H21" s="11"/>
      <c r="I21" s="12"/>
      <c r="J21" s="24"/>
      <c r="K21" s="24"/>
      <c r="L21" s="24"/>
      <c r="M21" s="24"/>
    </row>
    <row r="22" spans="1:13" x14ac:dyDescent="0.3">
      <c r="A22" s="531"/>
      <c r="B22" s="9" t="s">
        <v>12</v>
      </c>
      <c r="C22" s="14">
        <v>46791</v>
      </c>
      <c r="D22" s="14">
        <v>315782</v>
      </c>
      <c r="E22" s="14">
        <v>362573</v>
      </c>
      <c r="F22" s="15">
        <v>676</v>
      </c>
      <c r="G22" s="15">
        <v>591</v>
      </c>
      <c r="H22" s="25">
        <v>1267</v>
      </c>
      <c r="I22" s="26"/>
      <c r="J22" s="27">
        <f t="shared" ref="J22:L25" si="0">C22-C6</f>
        <v>42291</v>
      </c>
      <c r="K22" s="27">
        <f t="shared" si="0"/>
        <v>-41049</v>
      </c>
      <c r="L22" s="27">
        <f t="shared" si="0"/>
        <v>5697</v>
      </c>
      <c r="M22" s="28">
        <f>SUM(E22/E6)-1</f>
        <v>1.5963527948082756E-2</v>
      </c>
    </row>
    <row r="23" spans="1:13" x14ac:dyDescent="0.3">
      <c r="A23" s="531"/>
      <c r="B23" s="9" t="s">
        <v>13</v>
      </c>
      <c r="C23" s="14">
        <v>15741</v>
      </c>
      <c r="D23" s="14">
        <v>33714</v>
      </c>
      <c r="E23" s="14">
        <v>49428</v>
      </c>
      <c r="F23" s="15">
        <v>135</v>
      </c>
      <c r="G23" s="15">
        <v>59</v>
      </c>
      <c r="H23" s="15">
        <v>194</v>
      </c>
      <c r="I23" s="16"/>
      <c r="J23" s="27">
        <f t="shared" si="0"/>
        <v>1841</v>
      </c>
      <c r="K23" s="27">
        <f t="shared" si="0"/>
        <v>-4717</v>
      </c>
      <c r="L23" s="27">
        <f t="shared" si="0"/>
        <v>10858</v>
      </c>
      <c r="M23" s="28">
        <f>SUM(E23/E7)-1</f>
        <v>0.28151413015296867</v>
      </c>
    </row>
    <row r="24" spans="1:13" x14ac:dyDescent="0.3">
      <c r="A24" s="531"/>
      <c r="B24" s="9" t="s">
        <v>14</v>
      </c>
      <c r="C24" s="10">
        <v>159</v>
      </c>
      <c r="D24" s="14">
        <v>89814</v>
      </c>
      <c r="E24" s="14">
        <v>89973</v>
      </c>
      <c r="F24" s="15">
        <v>7</v>
      </c>
      <c r="G24" s="15">
        <v>43</v>
      </c>
      <c r="H24" s="15">
        <v>50</v>
      </c>
      <c r="I24" s="16"/>
      <c r="J24" s="27">
        <f t="shared" si="0"/>
        <v>-7541</v>
      </c>
      <c r="K24" s="27">
        <f t="shared" si="0"/>
        <v>-22196</v>
      </c>
      <c r="L24" s="27">
        <f t="shared" si="0"/>
        <v>-22114</v>
      </c>
      <c r="M24" s="28">
        <f>SUM(E24/E8)-1</f>
        <v>-0.19729317405229863</v>
      </c>
    </row>
    <row r="25" spans="1:13" x14ac:dyDescent="0.3">
      <c r="A25" s="531"/>
      <c r="B25" s="9" t="s">
        <v>15</v>
      </c>
      <c r="C25" s="14">
        <v>13482</v>
      </c>
      <c r="D25" s="14">
        <v>90278</v>
      </c>
      <c r="E25" s="14">
        <v>103760</v>
      </c>
      <c r="F25" s="15">
        <v>406</v>
      </c>
      <c r="G25" s="15">
        <v>633</v>
      </c>
      <c r="H25" s="25">
        <v>1039</v>
      </c>
      <c r="I25" s="26"/>
      <c r="J25" s="27">
        <f t="shared" si="0"/>
        <v>-31818</v>
      </c>
      <c r="K25" s="27">
        <f t="shared" si="0"/>
        <v>-9703</v>
      </c>
      <c r="L25" s="27">
        <f t="shared" si="0"/>
        <v>3326</v>
      </c>
      <c r="M25" s="28">
        <f>SUM(E25/E9)-1</f>
        <v>3.3116275364916348E-2</v>
      </c>
    </row>
    <row r="26" spans="1:13" x14ac:dyDescent="0.3">
      <c r="A26" s="531"/>
      <c r="B26" s="9" t="s">
        <v>16</v>
      </c>
      <c r="C26" s="9"/>
      <c r="D26" s="9"/>
      <c r="E26" s="9"/>
      <c r="F26" s="11"/>
      <c r="G26" s="11"/>
      <c r="H26" s="11"/>
      <c r="I26" s="12"/>
      <c r="J26" s="27"/>
      <c r="K26" s="27"/>
      <c r="L26" s="27"/>
      <c r="M26" s="28"/>
    </row>
    <row r="27" spans="1:13" x14ac:dyDescent="0.3">
      <c r="A27" s="531"/>
      <c r="B27" s="18" t="s">
        <v>17</v>
      </c>
      <c r="C27" s="20">
        <v>76146</v>
      </c>
      <c r="D27" s="20">
        <v>529588</v>
      </c>
      <c r="E27" s="20">
        <v>605734</v>
      </c>
      <c r="F27" s="22">
        <v>1224</v>
      </c>
      <c r="G27" s="22">
        <v>1326</v>
      </c>
      <c r="H27" s="22">
        <v>2550</v>
      </c>
      <c r="I27" s="23"/>
      <c r="J27" s="29">
        <f>C27-C11</f>
        <v>4746</v>
      </c>
      <c r="K27" s="29">
        <f>D27-D11</f>
        <v>-77665</v>
      </c>
      <c r="L27" s="29">
        <f>E27-E11</f>
        <v>-2233</v>
      </c>
      <c r="M27" s="30">
        <f>SUM(E27/E11)-1</f>
        <v>-3.672896719723262E-3</v>
      </c>
    </row>
    <row r="28" spans="1:13" x14ac:dyDescent="0.3">
      <c r="A28" s="531"/>
      <c r="B28" s="9"/>
      <c r="C28" s="9"/>
      <c r="D28" s="9"/>
      <c r="E28" s="9"/>
      <c r="F28" s="11"/>
      <c r="G28" s="11"/>
      <c r="H28" s="11"/>
      <c r="I28" s="12"/>
      <c r="J28" s="27"/>
      <c r="K28" s="27"/>
      <c r="L28" s="27"/>
      <c r="M28" s="28"/>
    </row>
    <row r="29" spans="1:13" x14ac:dyDescent="0.3">
      <c r="A29" s="531"/>
      <c r="B29" s="9" t="s">
        <v>2</v>
      </c>
      <c r="C29" s="14">
        <v>25772</v>
      </c>
      <c r="D29" s="14">
        <v>210880</v>
      </c>
      <c r="E29" s="14">
        <v>236652</v>
      </c>
      <c r="F29" s="15">
        <v>12</v>
      </c>
      <c r="G29" s="15">
        <v>45</v>
      </c>
      <c r="H29" s="15">
        <v>57</v>
      </c>
      <c r="I29" s="16"/>
      <c r="J29" s="27">
        <f t="shared" ref="J29:L30" si="1">C29-C13</f>
        <v>-24948</v>
      </c>
      <c r="K29" s="27">
        <f t="shared" si="1"/>
        <v>-23578</v>
      </c>
      <c r="L29" s="27">
        <f t="shared" si="1"/>
        <v>-48526</v>
      </c>
      <c r="M29" s="28">
        <f>SUM(E29/E13)-1</f>
        <v>-0.17016039105400838</v>
      </c>
    </row>
    <row r="30" spans="1:13" x14ac:dyDescent="0.3">
      <c r="A30" s="531"/>
      <c r="B30" s="9" t="s">
        <v>18</v>
      </c>
      <c r="C30" s="10"/>
      <c r="D30" s="14">
        <v>30782</v>
      </c>
      <c r="E30" s="14">
        <v>30782</v>
      </c>
      <c r="F30" s="15" t="s">
        <v>21</v>
      </c>
      <c r="G30" s="15">
        <v>56</v>
      </c>
      <c r="H30" s="15">
        <v>56</v>
      </c>
      <c r="I30" s="16"/>
      <c r="J30" s="27">
        <f t="shared" si="1"/>
        <v>-2910</v>
      </c>
      <c r="K30" s="27">
        <f t="shared" si="1"/>
        <v>-982</v>
      </c>
      <c r="L30" s="27">
        <f t="shared" si="1"/>
        <v>-3892</v>
      </c>
      <c r="M30" s="28">
        <f>SUM(E30/E14)-1</f>
        <v>-0.11224548653169519</v>
      </c>
    </row>
    <row r="31" spans="1:13" x14ac:dyDescent="0.3">
      <c r="A31" s="531"/>
      <c r="B31" s="9"/>
      <c r="C31" s="9"/>
      <c r="D31" s="9"/>
      <c r="E31" s="9"/>
      <c r="F31" s="11"/>
      <c r="G31" s="11"/>
      <c r="H31" s="11"/>
      <c r="I31" s="12"/>
      <c r="J31" s="27"/>
      <c r="K31" s="27"/>
      <c r="L31" s="27"/>
      <c r="M31" s="28"/>
    </row>
    <row r="32" spans="1:13" x14ac:dyDescent="0.3">
      <c r="A32" s="531"/>
      <c r="B32" s="18" t="s">
        <v>9</v>
      </c>
      <c r="C32" s="20">
        <v>101918</v>
      </c>
      <c r="D32" s="20">
        <v>771250</v>
      </c>
      <c r="E32" s="20">
        <v>873168</v>
      </c>
      <c r="F32" s="22">
        <v>1236</v>
      </c>
      <c r="G32" s="22">
        <v>1337</v>
      </c>
      <c r="H32" s="22">
        <v>2663</v>
      </c>
      <c r="I32" s="23"/>
      <c r="J32" s="31">
        <f>C32-C16</f>
        <v>47574</v>
      </c>
      <c r="K32" s="31">
        <f>D32-D16</f>
        <v>-102225</v>
      </c>
      <c r="L32" s="31">
        <f>E32-E16</f>
        <v>-54651</v>
      </c>
      <c r="M32" s="32">
        <f>SUM(E32/E16)-1</f>
        <v>-5.8902652349218987E-2</v>
      </c>
    </row>
    <row r="35" spans="1:13" x14ac:dyDescent="0.3">
      <c r="B35" s="536" t="s">
        <v>4</v>
      </c>
      <c r="C35" s="533" t="s">
        <v>5</v>
      </c>
      <c r="D35" s="533"/>
      <c r="E35" s="533"/>
      <c r="F35" s="532" t="s">
        <v>6</v>
      </c>
      <c r="G35" s="532"/>
      <c r="H35" s="532"/>
      <c r="I35" s="8"/>
      <c r="J35" s="8"/>
    </row>
    <row r="36" spans="1:13" ht="30" customHeight="1" x14ac:dyDescent="0.3">
      <c r="B36" s="536"/>
      <c r="C36" s="6" t="s">
        <v>7</v>
      </c>
      <c r="D36" s="6" t="s">
        <v>8</v>
      </c>
      <c r="E36" s="6" t="s">
        <v>9</v>
      </c>
      <c r="F36" s="7" t="s">
        <v>7</v>
      </c>
      <c r="G36" s="7" t="s">
        <v>8</v>
      </c>
      <c r="H36" s="7" t="s">
        <v>9</v>
      </c>
      <c r="I36" s="8"/>
      <c r="J36" s="6" t="s">
        <v>19</v>
      </c>
      <c r="K36" s="6" t="s">
        <v>20</v>
      </c>
      <c r="L36" s="532" t="s">
        <v>10</v>
      </c>
      <c r="M36" s="532"/>
    </row>
    <row r="37" spans="1:13" x14ac:dyDescent="0.3">
      <c r="A37" s="530">
        <v>39326</v>
      </c>
      <c r="B37" s="9" t="s">
        <v>11</v>
      </c>
      <c r="C37" s="10"/>
      <c r="D37" s="10"/>
      <c r="E37" s="10"/>
      <c r="F37" s="11"/>
      <c r="G37" s="11"/>
      <c r="H37" s="11"/>
      <c r="I37" s="12"/>
      <c r="J37" s="24"/>
      <c r="K37" s="24"/>
      <c r="L37" s="24"/>
      <c r="M37" s="24"/>
    </row>
    <row r="38" spans="1:13" x14ac:dyDescent="0.3">
      <c r="A38" s="531"/>
      <c r="B38" s="9" t="s">
        <v>12</v>
      </c>
      <c r="C38" s="14">
        <v>42759</v>
      </c>
      <c r="D38" s="14">
        <v>326294</v>
      </c>
      <c r="E38" s="14">
        <v>369053</v>
      </c>
      <c r="F38" s="15">
        <v>830</v>
      </c>
      <c r="G38" s="15">
        <v>706</v>
      </c>
      <c r="H38" s="25">
        <v>1536</v>
      </c>
      <c r="I38" s="26"/>
      <c r="J38" s="27">
        <f t="shared" ref="J38:L41" si="2">C38-C22</f>
        <v>-4032</v>
      </c>
      <c r="K38" s="27">
        <f t="shared" si="2"/>
        <v>10512</v>
      </c>
      <c r="L38" s="27">
        <f t="shared" si="2"/>
        <v>6480</v>
      </c>
      <c r="M38" s="28">
        <f>SUM(E38/E22)-1</f>
        <v>1.7872262964975238E-2</v>
      </c>
    </row>
    <row r="39" spans="1:13" x14ac:dyDescent="0.3">
      <c r="A39" s="531"/>
      <c r="B39" s="9" t="s">
        <v>13</v>
      </c>
      <c r="C39" s="14">
        <v>5140</v>
      </c>
      <c r="D39" s="14">
        <v>34234</v>
      </c>
      <c r="E39" s="14">
        <v>39374</v>
      </c>
      <c r="F39" s="15">
        <v>86</v>
      </c>
      <c r="G39" s="15">
        <v>112</v>
      </c>
      <c r="H39" s="15">
        <v>198</v>
      </c>
      <c r="I39" s="16"/>
      <c r="J39" s="27">
        <f t="shared" si="2"/>
        <v>-10601</v>
      </c>
      <c r="K39" s="27">
        <f t="shared" si="2"/>
        <v>520</v>
      </c>
      <c r="L39" s="27">
        <f t="shared" si="2"/>
        <v>-10054</v>
      </c>
      <c r="M39" s="28">
        <f>SUM(E39/E23)-1</f>
        <v>-0.20340697580318845</v>
      </c>
    </row>
    <row r="40" spans="1:13" x14ac:dyDescent="0.3">
      <c r="A40" s="531"/>
      <c r="B40" s="9" t="s">
        <v>14</v>
      </c>
      <c r="C40" s="14">
        <v>44076</v>
      </c>
      <c r="D40" s="14">
        <v>82063</v>
      </c>
      <c r="E40" s="14">
        <v>126139</v>
      </c>
      <c r="F40" s="15">
        <v>94</v>
      </c>
      <c r="G40" s="15">
        <v>38</v>
      </c>
      <c r="H40" s="15">
        <v>132</v>
      </c>
      <c r="I40" s="16"/>
      <c r="J40" s="27">
        <f t="shared" si="2"/>
        <v>43917</v>
      </c>
      <c r="K40" s="27">
        <f t="shared" si="2"/>
        <v>-7751</v>
      </c>
      <c r="L40" s="27">
        <f t="shared" si="2"/>
        <v>36166</v>
      </c>
      <c r="M40" s="28">
        <f>SUM(E40/E24)-1</f>
        <v>0.40196503395463079</v>
      </c>
    </row>
    <row r="41" spans="1:13" x14ac:dyDescent="0.3">
      <c r="A41" s="531"/>
      <c r="B41" s="9" t="s">
        <v>15</v>
      </c>
      <c r="C41" s="14">
        <v>13434</v>
      </c>
      <c r="D41" s="14">
        <v>94266</v>
      </c>
      <c r="E41" s="14">
        <v>107700</v>
      </c>
      <c r="F41" s="15">
        <v>391</v>
      </c>
      <c r="G41" s="15">
        <v>694</v>
      </c>
      <c r="H41" s="25">
        <v>1085</v>
      </c>
      <c r="I41" s="26"/>
      <c r="J41" s="27">
        <f t="shared" si="2"/>
        <v>-48</v>
      </c>
      <c r="K41" s="27">
        <f t="shared" si="2"/>
        <v>3988</v>
      </c>
      <c r="L41" s="27">
        <f t="shared" si="2"/>
        <v>3940</v>
      </c>
      <c r="M41" s="28">
        <f>SUM(E41/E25)-1</f>
        <v>3.7972243639167402E-2</v>
      </c>
    </row>
    <row r="42" spans="1:13" x14ac:dyDescent="0.3">
      <c r="A42" s="531"/>
      <c r="B42" s="9" t="s">
        <v>16</v>
      </c>
      <c r="C42" s="9"/>
      <c r="D42" s="9"/>
      <c r="E42" s="9"/>
      <c r="F42" s="11"/>
      <c r="G42" s="11"/>
      <c r="H42" s="11"/>
      <c r="I42" s="12"/>
      <c r="J42" s="27"/>
      <c r="K42" s="27"/>
      <c r="L42" s="27"/>
      <c r="M42" s="28"/>
    </row>
    <row r="43" spans="1:13" x14ac:dyDescent="0.3">
      <c r="A43" s="531"/>
      <c r="B43" s="18" t="s">
        <v>17</v>
      </c>
      <c r="C43" s="20">
        <v>105409</v>
      </c>
      <c r="D43" s="20">
        <v>536857</v>
      </c>
      <c r="E43" s="20">
        <v>642266</v>
      </c>
      <c r="F43" s="22">
        <v>1401</v>
      </c>
      <c r="G43" s="22">
        <v>1550</v>
      </c>
      <c r="H43" s="22">
        <v>2951</v>
      </c>
      <c r="I43" s="23"/>
      <c r="J43" s="29">
        <f>C43-C27</f>
        <v>29263</v>
      </c>
      <c r="K43" s="29">
        <f>D43-D27</f>
        <v>7269</v>
      </c>
      <c r="L43" s="29">
        <f>E43-E27</f>
        <v>36532</v>
      </c>
      <c r="M43" s="30">
        <f>SUM(E43/E27)-1</f>
        <v>6.0310301221328189E-2</v>
      </c>
    </row>
    <row r="44" spans="1:13" x14ac:dyDescent="0.3">
      <c r="A44" s="531"/>
      <c r="B44" s="9"/>
      <c r="C44" s="9"/>
      <c r="D44" s="9"/>
      <c r="E44" s="9"/>
      <c r="F44" s="11"/>
      <c r="G44" s="11"/>
      <c r="H44" s="11"/>
      <c r="I44" s="12"/>
      <c r="J44" s="27"/>
      <c r="K44" s="27"/>
      <c r="L44" s="27"/>
      <c r="M44" s="28"/>
    </row>
    <row r="45" spans="1:13" x14ac:dyDescent="0.3">
      <c r="A45" s="531"/>
      <c r="B45" s="9" t="s">
        <v>2</v>
      </c>
      <c r="C45" s="14">
        <v>1701</v>
      </c>
      <c r="D45" s="14">
        <v>199175</v>
      </c>
      <c r="E45" s="14">
        <v>200876</v>
      </c>
      <c r="F45" s="15">
        <v>11</v>
      </c>
      <c r="G45" s="15">
        <v>42</v>
      </c>
      <c r="H45" s="15">
        <v>53</v>
      </c>
      <c r="I45" s="16"/>
      <c r="J45" s="27">
        <f t="shared" ref="J45:L46" si="3">C45-C29</f>
        <v>-24071</v>
      </c>
      <c r="K45" s="27">
        <f t="shared" si="3"/>
        <v>-11705</v>
      </c>
      <c r="L45" s="27">
        <f t="shared" si="3"/>
        <v>-35776</v>
      </c>
      <c r="M45" s="28">
        <f>SUM(E45/E29)-1</f>
        <v>-0.15117556580971214</v>
      </c>
    </row>
    <row r="46" spans="1:13" x14ac:dyDescent="0.3">
      <c r="A46" s="531"/>
      <c r="B46" s="9" t="s">
        <v>18</v>
      </c>
      <c r="C46" s="10"/>
      <c r="D46" s="14">
        <v>29506</v>
      </c>
      <c r="E46" s="14">
        <v>29506</v>
      </c>
      <c r="F46" s="15" t="s">
        <v>22</v>
      </c>
      <c r="G46" s="15">
        <v>50</v>
      </c>
      <c r="H46" s="15">
        <v>50</v>
      </c>
      <c r="I46" s="16"/>
      <c r="J46" s="27">
        <f t="shared" si="3"/>
        <v>0</v>
      </c>
      <c r="K46" s="27">
        <f t="shared" si="3"/>
        <v>-1276</v>
      </c>
      <c r="L46" s="27">
        <f t="shared" si="3"/>
        <v>-1276</v>
      </c>
      <c r="M46" s="28">
        <f>SUM(E46/E30)-1</f>
        <v>-4.1452797089208016E-2</v>
      </c>
    </row>
    <row r="47" spans="1:13" x14ac:dyDescent="0.3">
      <c r="A47" s="531"/>
      <c r="B47" s="9"/>
      <c r="C47" s="9"/>
      <c r="D47" s="9"/>
      <c r="E47" s="9"/>
      <c r="F47" s="11"/>
      <c r="G47" s="11"/>
      <c r="H47" s="11"/>
      <c r="I47" s="12"/>
      <c r="J47" s="27"/>
      <c r="K47" s="27"/>
      <c r="L47" s="27"/>
      <c r="M47" s="28"/>
    </row>
    <row r="48" spans="1:13" x14ac:dyDescent="0.3">
      <c r="A48" s="531"/>
      <c r="B48" s="18" t="s">
        <v>9</v>
      </c>
      <c r="C48" s="20">
        <v>107110</v>
      </c>
      <c r="D48" s="20">
        <v>765538</v>
      </c>
      <c r="E48" s="20">
        <v>872648</v>
      </c>
      <c r="F48" s="22">
        <v>1412</v>
      </c>
      <c r="G48" s="22">
        <v>1642</v>
      </c>
      <c r="H48" s="22">
        <v>3054</v>
      </c>
      <c r="I48" s="23"/>
      <c r="J48" s="33">
        <f>C48-C32</f>
        <v>5192</v>
      </c>
      <c r="K48" s="33">
        <f>D48-D32</f>
        <v>-5712</v>
      </c>
      <c r="L48" s="33">
        <f>E48-E32</f>
        <v>-520</v>
      </c>
      <c r="M48" s="34">
        <f>SUM(E48/E32)-1</f>
        <v>-5.9553258937572462E-4</v>
      </c>
    </row>
    <row r="51" spans="1:13" x14ac:dyDescent="0.3">
      <c r="B51" s="536" t="s">
        <v>4</v>
      </c>
      <c r="C51" s="533" t="s">
        <v>5</v>
      </c>
      <c r="D51" s="533"/>
      <c r="E51" s="533"/>
      <c r="F51" s="532" t="s">
        <v>6</v>
      </c>
      <c r="G51" s="532"/>
      <c r="H51" s="532"/>
      <c r="I51" s="8"/>
      <c r="J51" s="8"/>
    </row>
    <row r="52" spans="1:13" ht="30" customHeight="1" x14ac:dyDescent="0.3">
      <c r="B52" s="536"/>
      <c r="C52" s="6" t="s">
        <v>7</v>
      </c>
      <c r="D52" s="6" t="s">
        <v>8</v>
      </c>
      <c r="E52" s="6" t="s">
        <v>9</v>
      </c>
      <c r="F52" s="7" t="s">
        <v>7</v>
      </c>
      <c r="G52" s="7" t="s">
        <v>8</v>
      </c>
      <c r="H52" s="7" t="s">
        <v>9</v>
      </c>
      <c r="I52" s="8"/>
      <c r="J52" s="6" t="s">
        <v>19</v>
      </c>
      <c r="K52" s="6" t="s">
        <v>20</v>
      </c>
      <c r="L52" s="532" t="s">
        <v>10</v>
      </c>
      <c r="M52" s="532"/>
    </row>
    <row r="53" spans="1:13" x14ac:dyDescent="0.3">
      <c r="A53" s="530">
        <v>39356</v>
      </c>
      <c r="B53" s="9" t="s">
        <v>11</v>
      </c>
      <c r="C53" s="10"/>
      <c r="D53" s="10"/>
      <c r="E53" s="10"/>
      <c r="F53" s="11"/>
      <c r="G53" s="11"/>
      <c r="H53" s="11"/>
      <c r="I53" s="12"/>
      <c r="J53" s="24"/>
      <c r="K53" s="24"/>
      <c r="L53" s="24"/>
      <c r="M53" s="24"/>
    </row>
    <row r="54" spans="1:13" x14ac:dyDescent="0.3">
      <c r="A54" s="531"/>
      <c r="B54" s="9" t="s">
        <v>12</v>
      </c>
      <c r="C54" s="14">
        <v>2690</v>
      </c>
      <c r="D54" s="14">
        <v>334547</v>
      </c>
      <c r="E54" s="14">
        <v>337237</v>
      </c>
      <c r="F54" s="15">
        <v>4</v>
      </c>
      <c r="G54" s="15">
        <v>904</v>
      </c>
      <c r="H54" s="15">
        <v>908</v>
      </c>
      <c r="I54" s="16"/>
      <c r="J54" s="27">
        <f t="shared" ref="J54:L57" si="4">C54-C38</f>
        <v>-40069</v>
      </c>
      <c r="K54" s="27">
        <f t="shared" si="4"/>
        <v>8253</v>
      </c>
      <c r="L54" s="27">
        <f t="shared" si="4"/>
        <v>-31816</v>
      </c>
      <c r="M54" s="28">
        <f>SUM(E54/E38)-1</f>
        <v>-8.6209839779110342E-2</v>
      </c>
    </row>
    <row r="55" spans="1:13" x14ac:dyDescent="0.3">
      <c r="A55" s="531"/>
      <c r="B55" s="9" t="s">
        <v>13</v>
      </c>
      <c r="C55" s="10">
        <v>1</v>
      </c>
      <c r="D55" s="14">
        <v>35750</v>
      </c>
      <c r="E55" s="14">
        <v>35751</v>
      </c>
      <c r="F55" s="15">
        <v>1</v>
      </c>
      <c r="G55" s="15">
        <v>119</v>
      </c>
      <c r="H55" s="15">
        <v>120</v>
      </c>
      <c r="I55" s="16"/>
      <c r="J55" s="27">
        <f t="shared" si="4"/>
        <v>-5139</v>
      </c>
      <c r="K55" s="27">
        <f t="shared" si="4"/>
        <v>1516</v>
      </c>
      <c r="L55" s="27">
        <f t="shared" si="4"/>
        <v>-3623</v>
      </c>
      <c r="M55" s="28">
        <f>SUM(E55/E39)-1</f>
        <v>-9.2015035302483894E-2</v>
      </c>
    </row>
    <row r="56" spans="1:13" x14ac:dyDescent="0.3">
      <c r="A56" s="531"/>
      <c r="B56" s="9" t="s">
        <v>14</v>
      </c>
      <c r="C56" s="10"/>
      <c r="D56" s="14">
        <v>96405</v>
      </c>
      <c r="E56" s="14">
        <v>96405</v>
      </c>
      <c r="F56" s="15" t="s">
        <v>22</v>
      </c>
      <c r="G56" s="15">
        <v>52</v>
      </c>
      <c r="H56" s="15">
        <v>52</v>
      </c>
      <c r="I56" s="16"/>
      <c r="J56" s="27">
        <f t="shared" si="4"/>
        <v>-44076</v>
      </c>
      <c r="K56" s="27">
        <f t="shared" si="4"/>
        <v>14342</v>
      </c>
      <c r="L56" s="27">
        <f t="shared" si="4"/>
        <v>-29734</v>
      </c>
      <c r="M56" s="28">
        <f>SUM(E56/E40)-1</f>
        <v>-0.23572408216332774</v>
      </c>
    </row>
    <row r="57" spans="1:13" x14ac:dyDescent="0.3">
      <c r="A57" s="531"/>
      <c r="B57" s="9" t="s">
        <v>15</v>
      </c>
      <c r="C57" s="10">
        <v>509</v>
      </c>
      <c r="D57" s="14">
        <v>97049</v>
      </c>
      <c r="E57" s="14">
        <v>97558</v>
      </c>
      <c r="F57" s="15">
        <v>28</v>
      </c>
      <c r="G57" s="15">
        <v>710</v>
      </c>
      <c r="H57" s="15">
        <v>738</v>
      </c>
      <c r="I57" s="16"/>
      <c r="J57" s="27">
        <f t="shared" si="4"/>
        <v>-12925</v>
      </c>
      <c r="K57" s="27">
        <f t="shared" si="4"/>
        <v>2783</v>
      </c>
      <c r="L57" s="27">
        <f t="shared" si="4"/>
        <v>-10142</v>
      </c>
      <c r="M57" s="28">
        <f>SUM(E57/E41)-1</f>
        <v>-9.4168987929433623E-2</v>
      </c>
    </row>
    <row r="58" spans="1:13" x14ac:dyDescent="0.3">
      <c r="A58" s="531"/>
      <c r="B58" s="9" t="s">
        <v>16</v>
      </c>
      <c r="C58" s="9"/>
      <c r="D58" s="9"/>
      <c r="E58" s="9"/>
      <c r="F58" s="11"/>
      <c r="G58" s="11"/>
      <c r="H58" s="11"/>
      <c r="I58" s="12"/>
      <c r="J58" s="27"/>
      <c r="K58" s="27"/>
      <c r="L58" s="27"/>
      <c r="M58" s="28"/>
    </row>
    <row r="59" spans="1:13" x14ac:dyDescent="0.3">
      <c r="A59" s="531"/>
      <c r="B59" s="18" t="s">
        <v>17</v>
      </c>
      <c r="C59" s="20">
        <v>3200</v>
      </c>
      <c r="D59" s="20">
        <v>563751</v>
      </c>
      <c r="E59" s="20">
        <v>566951</v>
      </c>
      <c r="F59" s="21">
        <v>33</v>
      </c>
      <c r="G59" s="22">
        <v>1785</v>
      </c>
      <c r="H59" s="22">
        <v>1818</v>
      </c>
      <c r="I59" s="23"/>
      <c r="J59" s="29">
        <f>C59-C43</f>
        <v>-102209</v>
      </c>
      <c r="K59" s="29">
        <f>D59-D43</f>
        <v>26894</v>
      </c>
      <c r="L59" s="29">
        <f>E59-E43</f>
        <v>-75315</v>
      </c>
      <c r="M59" s="30">
        <f>SUM(E59/E43)-1</f>
        <v>-0.1172644978871682</v>
      </c>
    </row>
    <row r="60" spans="1:13" x14ac:dyDescent="0.3">
      <c r="A60" s="531"/>
      <c r="B60" s="9"/>
      <c r="C60" s="9"/>
      <c r="D60" s="9"/>
      <c r="E60" s="9"/>
      <c r="F60" s="11"/>
      <c r="G60" s="11"/>
      <c r="H60" s="11"/>
      <c r="I60" s="12"/>
      <c r="J60" s="27"/>
      <c r="K60" s="27"/>
      <c r="L60" s="27"/>
      <c r="M60" s="28"/>
    </row>
    <row r="61" spans="1:13" x14ac:dyDescent="0.3">
      <c r="A61" s="531"/>
      <c r="B61" s="9" t="s">
        <v>2</v>
      </c>
      <c r="C61" s="14">
        <v>13780</v>
      </c>
      <c r="D61" s="14">
        <v>196173</v>
      </c>
      <c r="E61" s="14">
        <v>211771</v>
      </c>
      <c r="F61" s="15">
        <v>23</v>
      </c>
      <c r="G61" s="15">
        <v>43</v>
      </c>
      <c r="H61" s="15">
        <v>66</v>
      </c>
      <c r="I61" s="16"/>
      <c r="J61" s="27">
        <f t="shared" ref="J61:L62" si="5">C61-C45</f>
        <v>12079</v>
      </c>
      <c r="K61" s="27">
        <f t="shared" si="5"/>
        <v>-3002</v>
      </c>
      <c r="L61" s="27">
        <f t="shared" si="5"/>
        <v>10895</v>
      </c>
      <c r="M61" s="28">
        <f>SUM(E61/E45)-1</f>
        <v>5.4237440012744109E-2</v>
      </c>
    </row>
    <row r="62" spans="1:13" x14ac:dyDescent="0.3">
      <c r="A62" s="531"/>
      <c r="B62" s="9" t="s">
        <v>18</v>
      </c>
      <c r="C62" s="14">
        <v>2571</v>
      </c>
      <c r="D62" s="14">
        <v>28277</v>
      </c>
      <c r="E62" s="14">
        <v>30848</v>
      </c>
      <c r="F62" s="15">
        <v>2</v>
      </c>
      <c r="G62" s="15">
        <v>48</v>
      </c>
      <c r="H62" s="15">
        <v>50</v>
      </c>
      <c r="I62" s="16"/>
      <c r="J62" s="27">
        <f t="shared" si="5"/>
        <v>2571</v>
      </c>
      <c r="K62" s="27">
        <f t="shared" si="5"/>
        <v>-1229</v>
      </c>
      <c r="L62" s="27">
        <f t="shared" si="5"/>
        <v>1342</v>
      </c>
      <c r="M62" s="28">
        <f>SUM(E62/E46)-1</f>
        <v>4.5482274791567745E-2</v>
      </c>
    </row>
    <row r="63" spans="1:13" x14ac:dyDescent="0.3">
      <c r="A63" s="531"/>
      <c r="B63" s="9"/>
      <c r="C63" s="9"/>
      <c r="D63" s="9"/>
      <c r="E63" s="9"/>
      <c r="F63" s="11"/>
      <c r="G63" s="11"/>
      <c r="H63" s="11"/>
      <c r="I63" s="12"/>
      <c r="J63" s="27"/>
      <c r="K63" s="27"/>
      <c r="L63" s="27"/>
      <c r="M63" s="28"/>
    </row>
    <row r="64" spans="1:13" x14ac:dyDescent="0.3">
      <c r="A64" s="531"/>
      <c r="B64" s="18" t="s">
        <v>9</v>
      </c>
      <c r="C64" s="20">
        <v>19551</v>
      </c>
      <c r="D64" s="20">
        <v>788201</v>
      </c>
      <c r="E64" s="20">
        <v>809570</v>
      </c>
      <c r="F64" s="21">
        <v>58</v>
      </c>
      <c r="G64" s="22">
        <v>1876</v>
      </c>
      <c r="H64" s="22">
        <v>1934</v>
      </c>
      <c r="I64" s="23"/>
      <c r="J64" s="33">
        <f>C64-C48</f>
        <v>-87559</v>
      </c>
      <c r="K64" s="33">
        <f>D64-D48</f>
        <v>22663</v>
      </c>
      <c r="L64" s="33">
        <f>E64-E48</f>
        <v>-63078</v>
      </c>
      <c r="M64" s="34">
        <f>SUM(E64/E48)-1</f>
        <v>-7.2283440745867789E-2</v>
      </c>
    </row>
    <row r="67" spans="1:15" x14ac:dyDescent="0.3">
      <c r="B67" s="536" t="s">
        <v>4</v>
      </c>
      <c r="C67" s="533" t="s">
        <v>5</v>
      </c>
      <c r="D67" s="533"/>
      <c r="E67" s="533"/>
      <c r="F67" s="532" t="s">
        <v>6</v>
      </c>
      <c r="G67" s="532"/>
      <c r="H67" s="532"/>
      <c r="I67" s="8"/>
      <c r="J67" s="8"/>
    </row>
    <row r="68" spans="1:15" ht="30" customHeight="1" x14ac:dyDescent="0.3">
      <c r="B68" s="536"/>
      <c r="C68" s="6" t="s">
        <v>7</v>
      </c>
      <c r="D68" s="6" t="s">
        <v>8</v>
      </c>
      <c r="E68" s="6" t="s">
        <v>9</v>
      </c>
      <c r="F68" s="7" t="s">
        <v>7</v>
      </c>
      <c r="G68" s="7" t="s">
        <v>8</v>
      </c>
      <c r="H68" s="7" t="s">
        <v>9</v>
      </c>
      <c r="I68" s="8"/>
      <c r="J68" s="6" t="s">
        <v>19</v>
      </c>
      <c r="K68" s="6" t="s">
        <v>20</v>
      </c>
      <c r="L68" s="532" t="s">
        <v>10</v>
      </c>
      <c r="M68" s="532"/>
    </row>
    <row r="69" spans="1:15" x14ac:dyDescent="0.3">
      <c r="A69" s="530">
        <v>39387</v>
      </c>
      <c r="B69" s="9" t="s">
        <v>11</v>
      </c>
      <c r="C69" s="10"/>
      <c r="D69" s="10"/>
      <c r="E69" s="10"/>
      <c r="F69" s="11"/>
      <c r="G69" s="11"/>
      <c r="H69" s="11"/>
      <c r="I69" s="12"/>
      <c r="J69" s="24"/>
      <c r="K69" s="24"/>
      <c r="L69" s="24"/>
      <c r="M69" s="24"/>
    </row>
    <row r="70" spans="1:15" x14ac:dyDescent="0.3">
      <c r="A70" s="531"/>
      <c r="B70" s="9" t="s">
        <v>12</v>
      </c>
      <c r="C70" s="14">
        <v>49151</v>
      </c>
      <c r="D70" s="14">
        <v>303345</v>
      </c>
      <c r="E70" s="14">
        <v>352496</v>
      </c>
      <c r="F70" s="15">
        <v>714</v>
      </c>
      <c r="G70" s="15">
        <v>611</v>
      </c>
      <c r="H70" s="25">
        <v>1325</v>
      </c>
      <c r="I70" s="26"/>
      <c r="J70" s="27">
        <f t="shared" ref="J70:L73" si="6">C70-C54</f>
        <v>46461</v>
      </c>
      <c r="K70" s="27">
        <f t="shared" si="6"/>
        <v>-31202</v>
      </c>
      <c r="L70" s="27">
        <f t="shared" si="6"/>
        <v>15259</v>
      </c>
      <c r="M70" s="28">
        <f>SUM(E70/E54)-1</f>
        <v>4.5247111082117319E-2</v>
      </c>
    </row>
    <row r="71" spans="1:15" x14ac:dyDescent="0.3">
      <c r="A71" s="531"/>
      <c r="B71" s="9" t="s">
        <v>13</v>
      </c>
      <c r="C71" s="14">
        <v>5260</v>
      </c>
      <c r="D71" s="14">
        <v>25848</v>
      </c>
      <c r="E71" s="14">
        <v>31108</v>
      </c>
      <c r="F71" s="15">
        <v>109</v>
      </c>
      <c r="G71" s="15">
        <v>60</v>
      </c>
      <c r="H71" s="15">
        <v>179</v>
      </c>
      <c r="I71" s="16"/>
      <c r="J71" s="27">
        <f t="shared" si="6"/>
        <v>5259</v>
      </c>
      <c r="K71" s="27">
        <f t="shared" si="6"/>
        <v>-9902</v>
      </c>
      <c r="L71" s="27">
        <f t="shared" si="6"/>
        <v>-4643</v>
      </c>
      <c r="M71" s="28">
        <f>SUM(E71/E55)-1</f>
        <v>-0.12987049313305921</v>
      </c>
    </row>
    <row r="72" spans="1:15" x14ac:dyDescent="0.3">
      <c r="A72" s="531"/>
      <c r="B72" s="9" t="s">
        <v>14</v>
      </c>
      <c r="C72" s="14">
        <v>8562</v>
      </c>
      <c r="D72" s="14">
        <v>29499</v>
      </c>
      <c r="E72" s="14">
        <v>38061</v>
      </c>
      <c r="F72" s="15">
        <v>59</v>
      </c>
      <c r="G72" s="15">
        <v>38</v>
      </c>
      <c r="H72" s="15">
        <v>97</v>
      </c>
      <c r="I72" s="16"/>
      <c r="J72" s="27">
        <f t="shared" si="6"/>
        <v>8562</v>
      </c>
      <c r="K72" s="27">
        <f t="shared" si="6"/>
        <v>-66906</v>
      </c>
      <c r="L72" s="27">
        <f t="shared" si="6"/>
        <v>-58344</v>
      </c>
      <c r="M72" s="28">
        <f>SUM(E72/E56)-1</f>
        <v>-0.60519682589077328</v>
      </c>
    </row>
    <row r="73" spans="1:15" x14ac:dyDescent="0.3">
      <c r="A73" s="531"/>
      <c r="B73" s="9" t="s">
        <v>15</v>
      </c>
      <c r="C73" s="14">
        <v>9029</v>
      </c>
      <c r="D73" s="14">
        <v>87612</v>
      </c>
      <c r="E73" s="14">
        <v>96641</v>
      </c>
      <c r="F73" s="15">
        <v>329</v>
      </c>
      <c r="G73" s="15">
        <v>596</v>
      </c>
      <c r="H73" s="15">
        <v>925</v>
      </c>
      <c r="I73" s="16"/>
      <c r="J73" s="27">
        <f t="shared" si="6"/>
        <v>8520</v>
      </c>
      <c r="K73" s="27">
        <f t="shared" si="6"/>
        <v>-9437</v>
      </c>
      <c r="L73" s="27">
        <f t="shared" si="6"/>
        <v>-917</v>
      </c>
      <c r="M73" s="28">
        <f>SUM(E73/E57)-1</f>
        <v>-9.3995366858689033E-3</v>
      </c>
    </row>
    <row r="74" spans="1:15" x14ac:dyDescent="0.3">
      <c r="A74" s="531"/>
      <c r="B74" s="9" t="s">
        <v>16</v>
      </c>
      <c r="C74" s="9"/>
      <c r="D74" s="9"/>
      <c r="E74" s="9"/>
      <c r="F74" s="11"/>
      <c r="G74" s="11"/>
      <c r="H74" s="11"/>
      <c r="I74" s="12"/>
      <c r="J74" s="27"/>
      <c r="K74" s="27"/>
      <c r="L74" s="27"/>
      <c r="M74" s="28"/>
    </row>
    <row r="75" spans="1:15" x14ac:dyDescent="0.3">
      <c r="A75" s="531"/>
      <c r="B75" s="18" t="s">
        <v>17</v>
      </c>
      <c r="C75" s="20">
        <v>72002</v>
      </c>
      <c r="D75" s="20">
        <v>446304</v>
      </c>
      <c r="E75" s="20">
        <v>518306</v>
      </c>
      <c r="F75" s="22">
        <v>1211</v>
      </c>
      <c r="G75" s="22">
        <v>1305</v>
      </c>
      <c r="H75" s="22">
        <v>2526</v>
      </c>
      <c r="I75" s="23"/>
      <c r="J75" s="29">
        <f>C75-C59</f>
        <v>68802</v>
      </c>
      <c r="K75" s="29">
        <f>D75-D59</f>
        <v>-117447</v>
      </c>
      <c r="L75" s="29">
        <f>E75-E59</f>
        <v>-48645</v>
      </c>
      <c r="M75" s="30">
        <f>SUM(E75/E59)-1</f>
        <v>-8.5801065700563228E-2</v>
      </c>
      <c r="O75" s="35"/>
    </row>
    <row r="76" spans="1:15" x14ac:dyDescent="0.3">
      <c r="A76" s="531"/>
      <c r="B76" s="9"/>
      <c r="C76" s="9"/>
      <c r="D76" s="9"/>
      <c r="E76" s="9"/>
      <c r="F76" s="11"/>
      <c r="G76" s="11"/>
      <c r="H76" s="11"/>
      <c r="I76" s="12"/>
      <c r="J76" s="27"/>
      <c r="K76" s="27"/>
      <c r="L76" s="27"/>
      <c r="M76" s="28"/>
    </row>
    <row r="77" spans="1:15" x14ac:dyDescent="0.3">
      <c r="A77" s="531"/>
      <c r="B77" s="9" t="s">
        <v>2</v>
      </c>
      <c r="C77" s="14">
        <v>5720</v>
      </c>
      <c r="D77" s="14">
        <v>202137</v>
      </c>
      <c r="E77" s="14">
        <v>207857</v>
      </c>
      <c r="F77" s="15">
        <v>7</v>
      </c>
      <c r="G77" s="15">
        <v>48</v>
      </c>
      <c r="H77" s="15">
        <v>55</v>
      </c>
      <c r="I77" s="16"/>
      <c r="J77" s="27">
        <f t="shared" ref="J77:L78" si="7">C77-C61</f>
        <v>-8060</v>
      </c>
      <c r="K77" s="27">
        <f t="shared" si="7"/>
        <v>5964</v>
      </c>
      <c r="L77" s="27">
        <f t="shared" si="7"/>
        <v>-3914</v>
      </c>
      <c r="M77" s="28">
        <f>SUM(E77/E61)-1</f>
        <v>-1.8482228444876792E-2</v>
      </c>
    </row>
    <row r="78" spans="1:15" x14ac:dyDescent="0.3">
      <c r="A78" s="531"/>
      <c r="B78" s="9" t="s">
        <v>18</v>
      </c>
      <c r="C78" s="10"/>
      <c r="D78" s="14">
        <v>29499</v>
      </c>
      <c r="E78" s="14">
        <v>29499</v>
      </c>
      <c r="F78" s="15" t="s">
        <v>22</v>
      </c>
      <c r="G78" s="15">
        <v>52</v>
      </c>
      <c r="H78" s="15">
        <v>52</v>
      </c>
      <c r="I78" s="16"/>
      <c r="J78" s="27">
        <f t="shared" si="7"/>
        <v>-2571</v>
      </c>
      <c r="K78" s="27">
        <f t="shared" si="7"/>
        <v>1222</v>
      </c>
      <c r="L78" s="27">
        <f t="shared" si="7"/>
        <v>-1349</v>
      </c>
      <c r="M78" s="28">
        <f>SUM(E78/E62)-1</f>
        <v>-4.3730549792531104E-2</v>
      </c>
    </row>
    <row r="79" spans="1:15" x14ac:dyDescent="0.3">
      <c r="A79" s="531"/>
      <c r="B79" s="9"/>
      <c r="C79" s="9"/>
      <c r="D79" s="9"/>
      <c r="E79" s="9"/>
      <c r="F79" s="11"/>
      <c r="G79" s="11"/>
      <c r="H79" s="11"/>
      <c r="I79" s="12"/>
      <c r="J79" s="27"/>
      <c r="K79" s="27"/>
      <c r="L79" s="27"/>
      <c r="M79" s="28"/>
    </row>
    <row r="80" spans="1:15" x14ac:dyDescent="0.3">
      <c r="A80" s="531"/>
      <c r="B80" s="18" t="s">
        <v>9</v>
      </c>
      <c r="C80" s="20">
        <v>77722</v>
      </c>
      <c r="D80" s="20">
        <v>677940</v>
      </c>
      <c r="E80" s="20">
        <v>755662</v>
      </c>
      <c r="F80" s="21" t="s">
        <v>21</v>
      </c>
      <c r="G80" s="22">
        <v>1364</v>
      </c>
      <c r="H80" s="22">
        <v>2626</v>
      </c>
      <c r="I80" s="23"/>
      <c r="J80" s="33">
        <f>C80-C64</f>
        <v>58171</v>
      </c>
      <c r="K80" s="33">
        <f>D80-D64</f>
        <v>-110261</v>
      </c>
      <c r="L80" s="33">
        <f>E80-E64</f>
        <v>-53908</v>
      </c>
      <c r="M80" s="34">
        <f>SUM(E80/E64)-1</f>
        <v>-6.6588435836308135E-2</v>
      </c>
    </row>
    <row r="83" spans="1:13" x14ac:dyDescent="0.3">
      <c r="B83" s="536" t="s">
        <v>4</v>
      </c>
      <c r="C83" s="533" t="s">
        <v>5</v>
      </c>
      <c r="D83" s="533"/>
      <c r="E83" s="533"/>
      <c r="F83" s="532" t="s">
        <v>6</v>
      </c>
      <c r="G83" s="532"/>
      <c r="H83" s="532"/>
      <c r="I83" s="8"/>
      <c r="J83" s="8"/>
    </row>
    <row r="84" spans="1:13" ht="30" customHeight="1" x14ac:dyDescent="0.3">
      <c r="B84" s="536"/>
      <c r="C84" s="6" t="s">
        <v>7</v>
      </c>
      <c r="D84" s="6" t="s">
        <v>8</v>
      </c>
      <c r="E84" s="6" t="s">
        <v>9</v>
      </c>
      <c r="F84" s="7" t="s">
        <v>7</v>
      </c>
      <c r="G84" s="7" t="s">
        <v>8</v>
      </c>
      <c r="H84" s="7" t="s">
        <v>9</v>
      </c>
      <c r="I84" s="8"/>
      <c r="J84" s="6" t="s">
        <v>19</v>
      </c>
      <c r="K84" s="6" t="s">
        <v>20</v>
      </c>
      <c r="L84" s="532" t="s">
        <v>10</v>
      </c>
      <c r="M84" s="532"/>
    </row>
    <row r="85" spans="1:13" x14ac:dyDescent="0.3">
      <c r="A85" s="534">
        <v>39417</v>
      </c>
      <c r="B85" s="9" t="s">
        <v>11</v>
      </c>
      <c r="C85" s="13"/>
      <c r="D85" s="13"/>
      <c r="E85" s="36"/>
      <c r="F85" s="37"/>
      <c r="G85" s="37"/>
      <c r="H85" s="37"/>
      <c r="I85" s="38"/>
      <c r="J85" s="24"/>
      <c r="K85" s="24"/>
      <c r="L85" s="24"/>
      <c r="M85" s="24"/>
    </row>
    <row r="86" spans="1:13" x14ac:dyDescent="0.3">
      <c r="A86" s="535"/>
      <c r="B86" s="9" t="s">
        <v>12</v>
      </c>
      <c r="C86" s="13">
        <v>35517</v>
      </c>
      <c r="D86" s="13">
        <v>311008</v>
      </c>
      <c r="E86" s="36">
        <f>C86+D86</f>
        <v>346525</v>
      </c>
      <c r="F86" s="39">
        <v>559</v>
      </c>
      <c r="G86" s="39">
        <v>86</v>
      </c>
      <c r="H86" s="39">
        <f>G86+F86</f>
        <v>645</v>
      </c>
      <c r="I86" s="40"/>
      <c r="J86" s="27">
        <f t="shared" ref="J86:L89" si="8">C86-C70</f>
        <v>-13634</v>
      </c>
      <c r="K86" s="27">
        <f t="shared" si="8"/>
        <v>7663</v>
      </c>
      <c r="L86" s="27">
        <f t="shared" si="8"/>
        <v>-5971</v>
      </c>
      <c r="M86" s="28">
        <f>SUM(E86/E70)-1</f>
        <v>-1.6939199310063047E-2</v>
      </c>
    </row>
    <row r="87" spans="1:13" x14ac:dyDescent="0.3">
      <c r="A87" s="535"/>
      <c r="B87" s="9" t="s">
        <v>13</v>
      </c>
      <c r="C87" s="13">
        <v>1444</v>
      </c>
      <c r="D87" s="13">
        <v>28045</v>
      </c>
      <c r="E87" s="36">
        <f>C87+D87</f>
        <v>29489</v>
      </c>
      <c r="F87" s="39">
        <v>57</v>
      </c>
      <c r="G87" s="39">
        <v>115</v>
      </c>
      <c r="H87" s="39">
        <f>G87+F87</f>
        <v>172</v>
      </c>
      <c r="I87" s="40"/>
      <c r="J87" s="27">
        <f t="shared" si="8"/>
        <v>-3816</v>
      </c>
      <c r="K87" s="27">
        <f t="shared" si="8"/>
        <v>2197</v>
      </c>
      <c r="L87" s="27">
        <f t="shared" si="8"/>
        <v>-1619</v>
      </c>
      <c r="M87" s="28">
        <f>SUM(E87/E71)-1</f>
        <v>-5.2044490163302037E-2</v>
      </c>
    </row>
    <row r="88" spans="1:13" x14ac:dyDescent="0.3">
      <c r="A88" s="535"/>
      <c r="B88" s="9" t="s">
        <v>14</v>
      </c>
      <c r="C88" s="13">
        <v>18243</v>
      </c>
      <c r="D88" s="13">
        <v>68182</v>
      </c>
      <c r="E88" s="36">
        <f>C88+D88</f>
        <v>86425</v>
      </c>
      <c r="F88" s="39">
        <v>23</v>
      </c>
      <c r="G88" s="39">
        <v>63</v>
      </c>
      <c r="H88" s="39">
        <f>G88+F88</f>
        <v>86</v>
      </c>
      <c r="I88" s="40"/>
      <c r="J88" s="27">
        <f t="shared" si="8"/>
        <v>9681</v>
      </c>
      <c r="K88" s="27">
        <f t="shared" si="8"/>
        <v>38683</v>
      </c>
      <c r="L88" s="27">
        <f t="shared" si="8"/>
        <v>48364</v>
      </c>
      <c r="M88" s="28">
        <f>SUM(E88/E72)-1</f>
        <v>1.2706970389637688</v>
      </c>
    </row>
    <row r="89" spans="1:13" x14ac:dyDescent="0.3">
      <c r="A89" s="535"/>
      <c r="B89" s="9" t="s">
        <v>15</v>
      </c>
      <c r="C89" s="13">
        <v>10983</v>
      </c>
      <c r="D89" s="13">
        <v>88321</v>
      </c>
      <c r="E89" s="36">
        <f>C89+D89</f>
        <v>99304</v>
      </c>
      <c r="F89" s="39">
        <v>339</v>
      </c>
      <c r="G89" s="39">
        <v>642</v>
      </c>
      <c r="H89" s="39">
        <f>G89+F89</f>
        <v>981</v>
      </c>
      <c r="I89" s="40"/>
      <c r="J89" s="27">
        <f t="shared" si="8"/>
        <v>1954</v>
      </c>
      <c r="K89" s="27">
        <f t="shared" si="8"/>
        <v>709</v>
      </c>
      <c r="L89" s="27">
        <f t="shared" si="8"/>
        <v>2663</v>
      </c>
      <c r="M89" s="28">
        <f>SUM(E89/E73)-1</f>
        <v>2.75555923469335E-2</v>
      </c>
    </row>
    <row r="90" spans="1:13" x14ac:dyDescent="0.3">
      <c r="A90" s="535"/>
      <c r="B90" s="9" t="s">
        <v>16</v>
      </c>
      <c r="C90" s="17"/>
      <c r="D90" s="17"/>
      <c r="E90" s="41"/>
      <c r="F90" s="37"/>
      <c r="G90" s="37"/>
      <c r="H90" s="37"/>
      <c r="I90" s="38"/>
      <c r="J90" s="27"/>
      <c r="K90" s="27"/>
      <c r="L90" s="27"/>
      <c r="M90" s="28"/>
    </row>
    <row r="91" spans="1:13" x14ac:dyDescent="0.3">
      <c r="A91" s="535"/>
      <c r="B91" s="18" t="s">
        <v>17</v>
      </c>
      <c r="C91" s="19">
        <f t="shared" ref="C91:H91" si="9">SUM(C86:C90)</f>
        <v>66187</v>
      </c>
      <c r="D91" s="19">
        <f t="shared" si="9"/>
        <v>495556</v>
      </c>
      <c r="E91" s="19">
        <f t="shared" si="9"/>
        <v>561743</v>
      </c>
      <c r="F91" s="19">
        <f t="shared" si="9"/>
        <v>978</v>
      </c>
      <c r="G91" s="19">
        <f t="shared" si="9"/>
        <v>906</v>
      </c>
      <c r="H91" s="19">
        <f t="shared" si="9"/>
        <v>1884</v>
      </c>
      <c r="I91" s="42"/>
      <c r="J91" s="29">
        <f>C91-C75</f>
        <v>-5815</v>
      </c>
      <c r="K91" s="29">
        <f>D91-D75</f>
        <v>49252</v>
      </c>
      <c r="L91" s="29">
        <f>E91-E75</f>
        <v>43437</v>
      </c>
      <c r="M91" s="30">
        <f>SUM(E91/E75)-1</f>
        <v>8.3805705509872652E-2</v>
      </c>
    </row>
    <row r="92" spans="1:13" x14ac:dyDescent="0.3">
      <c r="A92" s="535"/>
      <c r="B92" s="9"/>
      <c r="C92" s="17"/>
      <c r="D92" s="17"/>
      <c r="E92" s="41"/>
      <c r="F92" s="37"/>
      <c r="G92" s="37"/>
      <c r="H92" s="37"/>
      <c r="I92" s="38"/>
      <c r="J92" s="27"/>
      <c r="K92" s="27"/>
      <c r="L92" s="27"/>
      <c r="M92" s="28"/>
    </row>
    <row r="93" spans="1:13" x14ac:dyDescent="0.3">
      <c r="A93" s="535"/>
      <c r="B93" s="9" t="s">
        <v>2</v>
      </c>
      <c r="C93" s="13"/>
      <c r="D93" s="13"/>
      <c r="E93" s="36">
        <v>268842</v>
      </c>
      <c r="F93" s="39"/>
      <c r="G93" s="39"/>
      <c r="H93" s="39"/>
      <c r="I93" s="40"/>
      <c r="J93" s="27">
        <f t="shared" ref="J93:L94" si="10">C93-C77</f>
        <v>-5720</v>
      </c>
      <c r="K93" s="27">
        <f t="shared" si="10"/>
        <v>-202137</v>
      </c>
      <c r="L93" s="27">
        <f t="shared" si="10"/>
        <v>60985</v>
      </c>
      <c r="M93" s="28">
        <f>SUM(E93/E77)-1</f>
        <v>0.29339882707823173</v>
      </c>
    </row>
    <row r="94" spans="1:13" x14ac:dyDescent="0.3">
      <c r="A94" s="535"/>
      <c r="B94" s="9" t="s">
        <v>18</v>
      </c>
      <c r="C94" s="13"/>
      <c r="D94" s="13">
        <v>24289</v>
      </c>
      <c r="E94" s="36">
        <f>C94+D94</f>
        <v>24289</v>
      </c>
      <c r="F94" s="39"/>
      <c r="G94" s="39"/>
      <c r="H94" s="39"/>
      <c r="I94" s="40"/>
      <c r="J94" s="27">
        <f t="shared" si="10"/>
        <v>0</v>
      </c>
      <c r="K94" s="27">
        <f t="shared" si="10"/>
        <v>-5210</v>
      </c>
      <c r="L94" s="27">
        <f t="shared" si="10"/>
        <v>-5210</v>
      </c>
      <c r="M94" s="28">
        <f>SUM(E94/E78)-1</f>
        <v>-0.17661615647988071</v>
      </c>
    </row>
    <row r="95" spans="1:13" x14ac:dyDescent="0.3">
      <c r="A95" s="535"/>
      <c r="B95" s="9"/>
      <c r="C95" s="17"/>
      <c r="D95" s="17"/>
      <c r="E95" s="41"/>
      <c r="F95" s="37"/>
      <c r="G95" s="37"/>
      <c r="H95" s="37"/>
      <c r="I95" s="38"/>
      <c r="J95" s="27"/>
      <c r="K95" s="27"/>
      <c r="L95" s="27"/>
      <c r="M95" s="28"/>
    </row>
    <row r="96" spans="1:13" x14ac:dyDescent="0.3">
      <c r="A96" s="535"/>
      <c r="B96" s="18" t="s">
        <v>9</v>
      </c>
      <c r="C96" s="19">
        <f t="shared" ref="C96:H96" si="11">C91+C93+C94</f>
        <v>66187</v>
      </c>
      <c r="D96" s="19">
        <f t="shared" si="11"/>
        <v>519845</v>
      </c>
      <c r="E96" s="19">
        <f t="shared" si="11"/>
        <v>854874</v>
      </c>
      <c r="F96" s="19">
        <f t="shared" si="11"/>
        <v>978</v>
      </c>
      <c r="G96" s="19">
        <f t="shared" si="11"/>
        <v>906</v>
      </c>
      <c r="H96" s="19">
        <f t="shared" si="11"/>
        <v>1884</v>
      </c>
      <c r="I96" s="42"/>
      <c r="J96" s="33">
        <f>C96-C80</f>
        <v>-11535</v>
      </c>
      <c r="K96" s="33">
        <f>D96-D80</f>
        <v>-158095</v>
      </c>
      <c r="L96" s="33">
        <f>E96-E80</f>
        <v>99212</v>
      </c>
      <c r="M96" s="34">
        <f>SUM(E96/E80)-1</f>
        <v>0.13129150334408779</v>
      </c>
    </row>
    <row r="99" spans="1:13" ht="15" customHeight="1" x14ac:dyDescent="0.3">
      <c r="B99" s="43" t="s">
        <v>4</v>
      </c>
      <c r="C99" s="533" t="s">
        <v>5</v>
      </c>
      <c r="D99" s="533"/>
      <c r="E99" s="533"/>
      <c r="F99" s="532" t="s">
        <v>6</v>
      </c>
      <c r="G99" s="532"/>
      <c r="H99" s="532"/>
      <c r="I99" s="8"/>
      <c r="J99" s="8"/>
      <c r="L99" s="524" t="s">
        <v>10</v>
      </c>
      <c r="M99" s="525"/>
    </row>
    <row r="100" spans="1:13" ht="15" customHeight="1" x14ac:dyDescent="0.3">
      <c r="B100" s="44"/>
      <c r="C100" s="6" t="s">
        <v>7</v>
      </c>
      <c r="D100" s="6" t="s">
        <v>8</v>
      </c>
      <c r="E100" s="6" t="s">
        <v>9</v>
      </c>
      <c r="F100" s="7" t="s">
        <v>7</v>
      </c>
      <c r="G100" s="7" t="s">
        <v>8</v>
      </c>
      <c r="H100" s="7" t="s">
        <v>9</v>
      </c>
      <c r="I100" s="8"/>
      <c r="J100" s="6" t="s">
        <v>19</v>
      </c>
      <c r="K100" s="6" t="s">
        <v>20</v>
      </c>
      <c r="L100" s="526"/>
      <c r="M100" s="527"/>
    </row>
    <row r="101" spans="1:13" x14ac:dyDescent="0.3">
      <c r="A101" s="534">
        <v>39448</v>
      </c>
      <c r="B101" s="9" t="s">
        <v>11</v>
      </c>
      <c r="C101" s="13"/>
      <c r="D101" s="13"/>
      <c r="E101" s="36"/>
      <c r="F101" s="37" t="s">
        <v>21</v>
      </c>
      <c r="G101" s="37" t="s">
        <v>21</v>
      </c>
      <c r="H101" s="37" t="s">
        <v>21</v>
      </c>
      <c r="I101" s="38"/>
      <c r="J101" s="24"/>
      <c r="K101" s="24"/>
      <c r="L101" s="24"/>
      <c r="M101" s="24"/>
    </row>
    <row r="102" spans="1:13" x14ac:dyDescent="0.3">
      <c r="A102" s="535"/>
      <c r="B102" s="9" t="s">
        <v>23</v>
      </c>
      <c r="C102" s="13">
        <v>28411</v>
      </c>
      <c r="D102" s="13">
        <v>312413</v>
      </c>
      <c r="E102" s="36">
        <v>340824</v>
      </c>
      <c r="F102" s="39">
        <v>433</v>
      </c>
      <c r="G102" s="39">
        <v>825</v>
      </c>
      <c r="H102" s="39">
        <v>1258</v>
      </c>
      <c r="I102" s="40"/>
      <c r="J102" s="27">
        <f t="shared" ref="J102:L105" si="12">C102-C86</f>
        <v>-7106</v>
      </c>
      <c r="K102" s="27">
        <f t="shared" si="12"/>
        <v>1405</v>
      </c>
      <c r="L102" s="27">
        <f t="shared" si="12"/>
        <v>-5701</v>
      </c>
      <c r="M102" s="28">
        <f>SUM(E102/E86)-1</f>
        <v>-1.6451915446216048E-2</v>
      </c>
    </row>
    <row r="103" spans="1:13" x14ac:dyDescent="0.3">
      <c r="A103" s="535"/>
      <c r="B103" s="9" t="s">
        <v>24</v>
      </c>
      <c r="C103" s="13">
        <v>4595</v>
      </c>
      <c r="D103" s="13">
        <v>26617</v>
      </c>
      <c r="E103" s="36">
        <v>31212</v>
      </c>
      <c r="F103" s="39">
        <v>78</v>
      </c>
      <c r="G103" s="39">
        <v>86</v>
      </c>
      <c r="H103" s="39">
        <v>164</v>
      </c>
      <c r="I103" s="40"/>
      <c r="J103" s="27">
        <f t="shared" si="12"/>
        <v>3151</v>
      </c>
      <c r="K103" s="27">
        <f t="shared" si="12"/>
        <v>-1428</v>
      </c>
      <c r="L103" s="27">
        <f t="shared" si="12"/>
        <v>1723</v>
      </c>
      <c r="M103" s="28">
        <f>SUM(E103/E87)-1</f>
        <v>5.8428566584149966E-2</v>
      </c>
    </row>
    <row r="104" spans="1:13" x14ac:dyDescent="0.3">
      <c r="A104" s="535"/>
      <c r="B104" s="9" t="s">
        <v>25</v>
      </c>
      <c r="C104" s="13">
        <v>3720</v>
      </c>
      <c r="D104" s="13">
        <v>73914</v>
      </c>
      <c r="E104" s="36">
        <v>77634</v>
      </c>
      <c r="F104" s="39">
        <v>22</v>
      </c>
      <c r="G104" s="39">
        <v>49</v>
      </c>
      <c r="H104" s="39">
        <v>71</v>
      </c>
      <c r="I104" s="40"/>
      <c r="J104" s="27">
        <f t="shared" si="12"/>
        <v>-14523</v>
      </c>
      <c r="K104" s="27">
        <f t="shared" si="12"/>
        <v>5732</v>
      </c>
      <c r="L104" s="27">
        <f t="shared" si="12"/>
        <v>-8791</v>
      </c>
      <c r="M104" s="28">
        <f>SUM(E104/E88)-1</f>
        <v>-0.10171825282036451</v>
      </c>
    </row>
    <row r="105" spans="1:13" x14ac:dyDescent="0.3">
      <c r="A105" s="535"/>
      <c r="B105" s="9" t="s">
        <v>26</v>
      </c>
      <c r="C105" s="13">
        <v>4442</v>
      </c>
      <c r="D105" s="13">
        <v>91915</v>
      </c>
      <c r="E105" s="36">
        <v>96357</v>
      </c>
      <c r="F105" s="39">
        <v>173</v>
      </c>
      <c r="G105" s="39">
        <v>682</v>
      </c>
      <c r="H105" s="39">
        <v>855</v>
      </c>
      <c r="I105" s="40"/>
      <c r="J105" s="27">
        <f t="shared" si="12"/>
        <v>-6541</v>
      </c>
      <c r="K105" s="27">
        <f t="shared" si="12"/>
        <v>3594</v>
      </c>
      <c r="L105" s="27">
        <f t="shared" si="12"/>
        <v>-2947</v>
      </c>
      <c r="M105" s="28">
        <f>SUM(E105/E89)-1</f>
        <v>-2.9676548779505318E-2</v>
      </c>
    </row>
    <row r="106" spans="1:13" x14ac:dyDescent="0.3">
      <c r="A106" s="535"/>
      <c r="B106" s="9" t="s">
        <v>27</v>
      </c>
      <c r="C106" s="17"/>
      <c r="D106" s="17"/>
      <c r="E106" s="41"/>
      <c r="F106" s="37"/>
      <c r="G106" s="37"/>
      <c r="H106" s="37"/>
      <c r="I106" s="38"/>
      <c r="J106" s="27"/>
      <c r="K106" s="27"/>
      <c r="L106" s="27"/>
      <c r="M106" s="28"/>
    </row>
    <row r="107" spans="1:13" x14ac:dyDescent="0.3">
      <c r="A107" s="535"/>
      <c r="B107" s="18" t="s">
        <v>17</v>
      </c>
      <c r="C107" s="19">
        <v>41168</v>
      </c>
      <c r="D107" s="19">
        <v>504859</v>
      </c>
      <c r="E107" s="19">
        <v>546027</v>
      </c>
      <c r="F107" s="19">
        <v>706</v>
      </c>
      <c r="G107" s="19">
        <v>1642</v>
      </c>
      <c r="H107" s="19">
        <v>2348</v>
      </c>
      <c r="I107" s="42"/>
      <c r="J107" s="29">
        <f>C107-C91</f>
        <v>-25019</v>
      </c>
      <c r="K107" s="29">
        <f>D107-D91</f>
        <v>9303</v>
      </c>
      <c r="L107" s="29">
        <f>E107-E91</f>
        <v>-15716</v>
      </c>
      <c r="M107" s="30">
        <f>SUM(E107/E91)-1</f>
        <v>-2.797720665856096E-2</v>
      </c>
    </row>
    <row r="108" spans="1:13" x14ac:dyDescent="0.3">
      <c r="A108" s="535"/>
      <c r="B108" s="9" t="s">
        <v>21</v>
      </c>
      <c r="C108" s="17"/>
      <c r="D108" s="17"/>
      <c r="E108" s="41"/>
      <c r="F108" s="37"/>
      <c r="G108" s="37"/>
      <c r="H108" s="37"/>
      <c r="I108" s="38"/>
      <c r="J108" s="27"/>
      <c r="K108" s="27"/>
      <c r="L108" s="27"/>
      <c r="M108" s="28"/>
    </row>
    <row r="109" spans="1:13" x14ac:dyDescent="0.3">
      <c r="A109" s="535"/>
      <c r="B109" s="9" t="s">
        <v>2</v>
      </c>
      <c r="C109" s="13">
        <v>52003</v>
      </c>
      <c r="D109" s="13">
        <v>187055</v>
      </c>
      <c r="E109" s="36">
        <v>239058</v>
      </c>
      <c r="F109" s="39">
        <v>27</v>
      </c>
      <c r="G109" s="39">
        <v>38</v>
      </c>
      <c r="H109" s="39">
        <v>110</v>
      </c>
      <c r="I109" s="40"/>
      <c r="J109" s="27">
        <f t="shared" ref="J109:L110" si="13">C109-C93</f>
        <v>52003</v>
      </c>
      <c r="K109" s="27">
        <f t="shared" si="13"/>
        <v>187055</v>
      </c>
      <c r="L109" s="27">
        <f t="shared" si="13"/>
        <v>-29784</v>
      </c>
      <c r="M109" s="28">
        <f>SUM(E109/E93)-1</f>
        <v>-0.11078626107527845</v>
      </c>
    </row>
    <row r="110" spans="1:13" x14ac:dyDescent="0.3">
      <c r="A110" s="535"/>
      <c r="B110" s="9" t="s">
        <v>18</v>
      </c>
      <c r="C110" s="13">
        <v>1985</v>
      </c>
      <c r="D110" s="13">
        <v>26770</v>
      </c>
      <c r="E110" s="36">
        <v>28755</v>
      </c>
      <c r="F110" s="39">
        <v>30</v>
      </c>
      <c r="G110" s="39">
        <v>42</v>
      </c>
      <c r="H110" s="39">
        <v>72</v>
      </c>
      <c r="I110" s="40"/>
      <c r="J110" s="27">
        <f t="shared" si="13"/>
        <v>1985</v>
      </c>
      <c r="K110" s="27">
        <f t="shared" si="13"/>
        <v>2481</v>
      </c>
      <c r="L110" s="27">
        <f t="shared" si="13"/>
        <v>4466</v>
      </c>
      <c r="M110" s="28">
        <f>SUM(E110/E94)-1</f>
        <v>0.18386924122030557</v>
      </c>
    </row>
    <row r="111" spans="1:13" x14ac:dyDescent="0.3">
      <c r="A111" s="535"/>
      <c r="B111" s="9" t="s">
        <v>21</v>
      </c>
      <c r="C111" s="17"/>
      <c r="D111" s="17"/>
      <c r="E111" s="41"/>
      <c r="F111" s="37"/>
      <c r="G111" s="37"/>
      <c r="H111" s="37"/>
      <c r="I111" s="38"/>
      <c r="J111" s="27"/>
      <c r="K111" s="27"/>
      <c r="L111" s="27"/>
      <c r="M111" s="28"/>
    </row>
    <row r="112" spans="1:13" x14ac:dyDescent="0.3">
      <c r="A112" s="535"/>
      <c r="B112" s="18" t="s">
        <v>9</v>
      </c>
      <c r="C112" s="19">
        <v>95156</v>
      </c>
      <c r="D112" s="19">
        <v>718684</v>
      </c>
      <c r="E112" s="19">
        <v>813840</v>
      </c>
      <c r="F112" s="19">
        <v>763</v>
      </c>
      <c r="G112" s="19">
        <v>1722</v>
      </c>
      <c r="H112" s="19">
        <v>2530</v>
      </c>
      <c r="I112" s="42"/>
      <c r="J112" s="33">
        <f>C112-C96</f>
        <v>28969</v>
      </c>
      <c r="K112" s="33">
        <f>D112-D96</f>
        <v>198839</v>
      </c>
      <c r="L112" s="33">
        <f>E112-E96</f>
        <v>-41034</v>
      </c>
      <c r="M112" s="34">
        <f>SUM(E112/E96)-1</f>
        <v>-4.8000056148625458E-2</v>
      </c>
    </row>
    <row r="115" spans="1:13" ht="15" customHeight="1" x14ac:dyDescent="0.3">
      <c r="B115" s="536" t="s">
        <v>4</v>
      </c>
      <c r="C115" s="533" t="s">
        <v>5</v>
      </c>
      <c r="D115" s="533"/>
      <c r="E115" s="533"/>
      <c r="F115" s="532" t="s">
        <v>6</v>
      </c>
      <c r="G115" s="532"/>
      <c r="H115" s="532"/>
      <c r="I115" s="8"/>
      <c r="J115" s="8"/>
      <c r="L115" s="524" t="s">
        <v>10</v>
      </c>
      <c r="M115" s="525"/>
    </row>
    <row r="116" spans="1:13" ht="15.75" customHeight="1" x14ac:dyDescent="0.3">
      <c r="B116" s="536"/>
      <c r="C116" s="6" t="s">
        <v>7</v>
      </c>
      <c r="D116" s="6" t="s">
        <v>8</v>
      </c>
      <c r="E116" s="6" t="s">
        <v>9</v>
      </c>
      <c r="F116" s="7" t="s">
        <v>7</v>
      </c>
      <c r="G116" s="7" t="s">
        <v>8</v>
      </c>
      <c r="H116" s="7" t="s">
        <v>9</v>
      </c>
      <c r="I116" s="8"/>
      <c r="J116" s="6" t="s">
        <v>19</v>
      </c>
      <c r="K116" s="6" t="s">
        <v>20</v>
      </c>
      <c r="L116" s="526"/>
      <c r="M116" s="527"/>
    </row>
    <row r="117" spans="1:13" x14ac:dyDescent="0.3">
      <c r="A117" s="530">
        <v>39479</v>
      </c>
      <c r="B117" s="9" t="s">
        <v>11</v>
      </c>
      <c r="C117" s="9"/>
      <c r="D117" s="9"/>
      <c r="E117" s="9"/>
      <c r="F117" s="11"/>
      <c r="G117" s="11"/>
      <c r="H117" s="11"/>
      <c r="I117" s="12"/>
      <c r="J117" s="24"/>
      <c r="K117" s="24"/>
      <c r="L117" s="24"/>
      <c r="M117" s="24"/>
    </row>
    <row r="118" spans="1:13" x14ac:dyDescent="0.3">
      <c r="A118" s="531"/>
      <c r="B118" s="9" t="s">
        <v>12</v>
      </c>
      <c r="C118" s="14">
        <v>53976</v>
      </c>
      <c r="D118" s="14">
        <v>300011</v>
      </c>
      <c r="E118" s="14">
        <v>353987</v>
      </c>
      <c r="F118" s="15">
        <v>807</v>
      </c>
      <c r="G118" s="15">
        <v>725</v>
      </c>
      <c r="H118" s="15">
        <v>1532</v>
      </c>
      <c r="I118" s="16"/>
      <c r="J118" s="27">
        <f t="shared" ref="J118:L121" si="14">C118-C102</f>
        <v>25565</v>
      </c>
      <c r="K118" s="27">
        <f t="shared" si="14"/>
        <v>-12402</v>
      </c>
      <c r="L118" s="27">
        <f t="shared" si="14"/>
        <v>13163</v>
      </c>
      <c r="M118" s="28">
        <f>SUM(E118/E102)-1</f>
        <v>3.8621106494847846E-2</v>
      </c>
    </row>
    <row r="119" spans="1:13" x14ac:dyDescent="0.3">
      <c r="A119" s="531"/>
      <c r="B119" s="9" t="s">
        <v>13</v>
      </c>
      <c r="C119" s="14">
        <v>6472</v>
      </c>
      <c r="D119" s="14">
        <v>29407</v>
      </c>
      <c r="E119" s="14">
        <v>35879</v>
      </c>
      <c r="F119" s="15">
        <v>125</v>
      </c>
      <c r="G119" s="15">
        <v>84</v>
      </c>
      <c r="H119" s="15">
        <v>209</v>
      </c>
      <c r="I119" s="16"/>
      <c r="J119" s="27">
        <f t="shared" si="14"/>
        <v>1877</v>
      </c>
      <c r="K119" s="27">
        <f t="shared" si="14"/>
        <v>2790</v>
      </c>
      <c r="L119" s="27">
        <f t="shared" si="14"/>
        <v>4667</v>
      </c>
      <c r="M119" s="28">
        <f>SUM(E119/E103)-1</f>
        <v>0.14952582340125598</v>
      </c>
    </row>
    <row r="120" spans="1:13" x14ac:dyDescent="0.3">
      <c r="A120" s="531"/>
      <c r="B120" s="9" t="s">
        <v>14</v>
      </c>
      <c r="C120" s="14">
        <v>8873</v>
      </c>
      <c r="D120" s="14">
        <v>67856</v>
      </c>
      <c r="E120" s="14">
        <v>76729</v>
      </c>
      <c r="F120" s="15">
        <v>82</v>
      </c>
      <c r="G120" s="15">
        <v>49</v>
      </c>
      <c r="H120" s="15">
        <v>131</v>
      </c>
      <c r="I120" s="16"/>
      <c r="J120" s="27">
        <f t="shared" si="14"/>
        <v>5153</v>
      </c>
      <c r="K120" s="27">
        <f t="shared" si="14"/>
        <v>-6058</v>
      </c>
      <c r="L120" s="27">
        <f t="shared" si="14"/>
        <v>-905</v>
      </c>
      <c r="M120" s="28">
        <f>SUM(E120/E104)-1</f>
        <v>-1.165726357008523E-2</v>
      </c>
    </row>
    <row r="121" spans="1:13" x14ac:dyDescent="0.3">
      <c r="A121" s="531"/>
      <c r="B121" s="9" t="s">
        <v>15</v>
      </c>
      <c r="C121" s="14">
        <v>9442</v>
      </c>
      <c r="D121" s="14">
        <v>86648</v>
      </c>
      <c r="E121" s="14">
        <v>96090</v>
      </c>
      <c r="F121" s="15">
        <v>316</v>
      </c>
      <c r="G121" s="15">
        <v>625</v>
      </c>
      <c r="H121" s="15">
        <v>941</v>
      </c>
      <c r="I121" s="16"/>
      <c r="J121" s="27">
        <f t="shared" si="14"/>
        <v>5000</v>
      </c>
      <c r="K121" s="27">
        <f t="shared" si="14"/>
        <v>-5267</v>
      </c>
      <c r="L121" s="27">
        <f t="shared" si="14"/>
        <v>-267</v>
      </c>
      <c r="M121" s="28">
        <f>SUM(E121/E105)-1</f>
        <v>-2.7709455462499033E-3</v>
      </c>
    </row>
    <row r="122" spans="1:13" x14ac:dyDescent="0.3">
      <c r="A122" s="531"/>
      <c r="B122" s="9" t="s">
        <v>16</v>
      </c>
      <c r="C122" s="10"/>
      <c r="D122" s="10"/>
      <c r="E122" s="10"/>
      <c r="F122" s="15"/>
      <c r="G122" s="15"/>
      <c r="H122" s="15"/>
      <c r="I122" s="16"/>
      <c r="J122" s="27"/>
      <c r="K122" s="27"/>
      <c r="L122" s="27"/>
      <c r="M122" s="28"/>
    </row>
    <row r="123" spans="1:13" x14ac:dyDescent="0.3">
      <c r="A123" s="531"/>
      <c r="B123" s="18" t="s">
        <v>17</v>
      </c>
      <c r="C123" s="20">
        <v>78763</v>
      </c>
      <c r="D123" s="20">
        <v>483922</v>
      </c>
      <c r="E123" s="20">
        <v>562685</v>
      </c>
      <c r="F123" s="22">
        <v>1330</v>
      </c>
      <c r="G123" s="22">
        <v>1483</v>
      </c>
      <c r="H123" s="22">
        <v>2813</v>
      </c>
      <c r="I123" s="23"/>
      <c r="J123" s="29">
        <f>C123-C107</f>
        <v>37595</v>
      </c>
      <c r="K123" s="29">
        <f>D123-D107</f>
        <v>-20937</v>
      </c>
      <c r="L123" s="29">
        <f>E123-E107</f>
        <v>16658</v>
      </c>
      <c r="M123" s="30">
        <f>SUM(E123/E107)-1</f>
        <v>3.0507648889157579E-2</v>
      </c>
    </row>
    <row r="124" spans="1:13" x14ac:dyDescent="0.3">
      <c r="A124" s="531"/>
      <c r="B124" s="9"/>
      <c r="C124" s="10"/>
      <c r="D124" s="10"/>
      <c r="E124" s="10"/>
      <c r="F124" s="15"/>
      <c r="G124" s="15"/>
      <c r="H124" s="15"/>
      <c r="I124" s="16"/>
      <c r="J124" s="27"/>
      <c r="K124" s="27"/>
      <c r="L124" s="27"/>
      <c r="M124" s="28"/>
    </row>
    <row r="125" spans="1:13" x14ac:dyDescent="0.3">
      <c r="A125" s="531"/>
      <c r="B125" s="9" t="s">
        <v>2</v>
      </c>
      <c r="C125" s="10" t="s">
        <v>28</v>
      </c>
      <c r="D125" s="14">
        <v>227605</v>
      </c>
      <c r="E125" s="14">
        <v>232706</v>
      </c>
      <c r="F125" s="15">
        <v>34</v>
      </c>
      <c r="G125" s="15">
        <v>35</v>
      </c>
      <c r="H125" s="15">
        <v>69</v>
      </c>
      <c r="I125" s="16"/>
      <c r="J125" s="27" t="e">
        <f t="shared" ref="J125:L126" si="15">C125-C109</f>
        <v>#VALUE!</v>
      </c>
      <c r="K125" s="27">
        <f t="shared" si="15"/>
        <v>40550</v>
      </c>
      <c r="L125" s="27">
        <f t="shared" si="15"/>
        <v>-6352</v>
      </c>
      <c r="M125" s="28">
        <f>SUM(E125/E109)-1</f>
        <v>-2.6570957675543183E-2</v>
      </c>
    </row>
    <row r="126" spans="1:13" x14ac:dyDescent="0.3">
      <c r="A126" s="531"/>
      <c r="B126" s="9" t="s">
        <v>18</v>
      </c>
      <c r="C126" s="14">
        <v>1923</v>
      </c>
      <c r="D126" s="14">
        <v>25951</v>
      </c>
      <c r="E126" s="14">
        <v>27874</v>
      </c>
      <c r="F126" s="15">
        <v>27</v>
      </c>
      <c r="G126" s="15">
        <v>41</v>
      </c>
      <c r="H126" s="15">
        <v>68</v>
      </c>
      <c r="I126" s="16"/>
      <c r="J126" s="27">
        <f t="shared" si="15"/>
        <v>-62</v>
      </c>
      <c r="K126" s="27">
        <f t="shared" si="15"/>
        <v>-819</v>
      </c>
      <c r="L126" s="27">
        <f t="shared" si="15"/>
        <v>-881</v>
      </c>
      <c r="M126" s="28">
        <f>SUM(E126/E110)-1</f>
        <v>-3.0638149886976218E-2</v>
      </c>
    </row>
    <row r="127" spans="1:13" x14ac:dyDescent="0.3">
      <c r="A127" s="531"/>
      <c r="B127" s="9"/>
      <c r="C127" s="10"/>
      <c r="D127" s="10"/>
      <c r="E127" s="10"/>
      <c r="F127" s="15"/>
      <c r="G127" s="15"/>
      <c r="H127" s="15"/>
      <c r="I127" s="16"/>
      <c r="J127" s="27"/>
      <c r="K127" s="27"/>
      <c r="L127" s="27"/>
      <c r="M127" s="28"/>
    </row>
    <row r="128" spans="1:13" x14ac:dyDescent="0.3">
      <c r="A128" s="531"/>
      <c r="B128" s="18" t="s">
        <v>9</v>
      </c>
      <c r="C128" s="20">
        <v>85787</v>
      </c>
      <c r="D128" s="20">
        <v>737478</v>
      </c>
      <c r="E128" s="20">
        <v>823265</v>
      </c>
      <c r="F128" s="22">
        <v>1391</v>
      </c>
      <c r="G128" s="22">
        <v>1559</v>
      </c>
      <c r="H128" s="22">
        <v>2950</v>
      </c>
      <c r="I128" s="23"/>
      <c r="J128" s="33">
        <f>C128-C112</f>
        <v>-9369</v>
      </c>
      <c r="K128" s="33">
        <f>D128-D112</f>
        <v>18794</v>
      </c>
      <c r="L128" s="33">
        <f>E128-E112</f>
        <v>9425</v>
      </c>
      <c r="M128" s="34">
        <f>SUM(E128/E112)-1</f>
        <v>1.1580900422687446E-2</v>
      </c>
    </row>
    <row r="131" spans="1:13" x14ac:dyDescent="0.3">
      <c r="B131" s="536" t="s">
        <v>4</v>
      </c>
      <c r="C131" s="533" t="s">
        <v>5</v>
      </c>
      <c r="D131" s="533"/>
      <c r="E131" s="533"/>
      <c r="F131" s="532" t="s">
        <v>6</v>
      </c>
      <c r="G131" s="532"/>
      <c r="H131" s="532"/>
      <c r="I131" s="8"/>
      <c r="J131" s="8"/>
      <c r="L131" s="524" t="s">
        <v>10</v>
      </c>
      <c r="M131" s="525"/>
    </row>
    <row r="132" spans="1:13" x14ac:dyDescent="0.3">
      <c r="B132" s="536"/>
      <c r="C132" s="6" t="s">
        <v>7</v>
      </c>
      <c r="D132" s="6" t="s">
        <v>8</v>
      </c>
      <c r="E132" s="6" t="s">
        <v>9</v>
      </c>
      <c r="F132" s="7" t="s">
        <v>7</v>
      </c>
      <c r="G132" s="7" t="s">
        <v>8</v>
      </c>
      <c r="H132" s="7" t="s">
        <v>9</v>
      </c>
      <c r="I132" s="8"/>
      <c r="J132" s="6" t="s">
        <v>19</v>
      </c>
      <c r="K132" s="6" t="s">
        <v>20</v>
      </c>
      <c r="L132" s="526"/>
      <c r="M132" s="527"/>
    </row>
    <row r="133" spans="1:13" x14ac:dyDescent="0.3">
      <c r="A133" s="530">
        <v>39508</v>
      </c>
      <c r="B133" s="9" t="s">
        <v>11</v>
      </c>
      <c r="C133" s="9"/>
      <c r="D133" s="9"/>
      <c r="E133" s="9"/>
      <c r="F133" s="11"/>
      <c r="G133" s="11"/>
      <c r="H133" s="11"/>
      <c r="I133" s="12"/>
      <c r="J133" s="24"/>
      <c r="K133" s="24"/>
      <c r="L133" s="24"/>
      <c r="M133" s="24"/>
    </row>
    <row r="134" spans="1:13" x14ac:dyDescent="0.3">
      <c r="A134" s="531"/>
      <c r="B134" s="9" t="s">
        <v>12</v>
      </c>
      <c r="C134" s="14">
        <v>37154</v>
      </c>
      <c r="D134" s="14">
        <v>305959</v>
      </c>
      <c r="E134" s="14">
        <v>343113</v>
      </c>
      <c r="F134" s="25">
        <v>610</v>
      </c>
      <c r="G134" s="15">
        <v>845</v>
      </c>
      <c r="H134" s="15">
        <v>1455</v>
      </c>
      <c r="I134" s="16"/>
      <c r="J134" s="27">
        <f t="shared" ref="J134:L137" si="16">C134-C118</f>
        <v>-16822</v>
      </c>
      <c r="K134" s="27">
        <f t="shared" si="16"/>
        <v>5948</v>
      </c>
      <c r="L134" s="27">
        <f t="shared" si="16"/>
        <v>-10874</v>
      </c>
      <c r="M134" s="28">
        <f>SUM(E134/E118)-1</f>
        <v>-3.0718642210024627E-2</v>
      </c>
    </row>
    <row r="135" spans="1:13" x14ac:dyDescent="0.3">
      <c r="A135" s="531"/>
      <c r="B135" s="9" t="s">
        <v>13</v>
      </c>
      <c r="C135" s="14">
        <v>2738</v>
      </c>
      <c r="D135" s="14">
        <v>32584</v>
      </c>
      <c r="E135" s="14">
        <v>35322</v>
      </c>
      <c r="F135" s="25">
        <v>87</v>
      </c>
      <c r="G135" s="15">
        <v>95</v>
      </c>
      <c r="H135" s="15">
        <v>182</v>
      </c>
      <c r="I135" s="16"/>
      <c r="J135" s="27">
        <f t="shared" si="16"/>
        <v>-3734</v>
      </c>
      <c r="K135" s="27">
        <f t="shared" si="16"/>
        <v>3177</v>
      </c>
      <c r="L135" s="27">
        <f t="shared" si="16"/>
        <v>-557</v>
      </c>
      <c r="M135" s="28">
        <f>SUM(E135/E119)-1</f>
        <v>-1.5524401460464299E-2</v>
      </c>
    </row>
    <row r="136" spans="1:13" x14ac:dyDescent="0.3">
      <c r="A136" s="531"/>
      <c r="B136" s="9" t="s">
        <v>14</v>
      </c>
      <c r="C136" s="14">
        <v>1257</v>
      </c>
      <c r="D136" s="14">
        <v>60129</v>
      </c>
      <c r="E136" s="14">
        <v>61386</v>
      </c>
      <c r="F136" s="25">
        <v>7</v>
      </c>
      <c r="G136" s="15">
        <v>57</v>
      </c>
      <c r="H136" s="15">
        <v>64</v>
      </c>
      <c r="I136" s="16"/>
      <c r="J136" s="27">
        <f t="shared" si="16"/>
        <v>-7616</v>
      </c>
      <c r="K136" s="27">
        <f t="shared" si="16"/>
        <v>-7727</v>
      </c>
      <c r="L136" s="27">
        <f t="shared" si="16"/>
        <v>-15343</v>
      </c>
      <c r="M136" s="28">
        <f>SUM(E136/E120)-1</f>
        <v>-0.19996350793050865</v>
      </c>
    </row>
    <row r="137" spans="1:13" x14ac:dyDescent="0.3">
      <c r="A137" s="531"/>
      <c r="B137" s="9" t="s">
        <v>15</v>
      </c>
      <c r="C137" s="14">
        <v>10897</v>
      </c>
      <c r="D137" s="14">
        <v>87120</v>
      </c>
      <c r="E137" s="14">
        <v>98017</v>
      </c>
      <c r="F137" s="25">
        <v>383</v>
      </c>
      <c r="G137" s="15">
        <v>650</v>
      </c>
      <c r="H137" s="15">
        <v>1033</v>
      </c>
      <c r="I137" s="16"/>
      <c r="J137" s="27">
        <f t="shared" si="16"/>
        <v>1455</v>
      </c>
      <c r="K137" s="27">
        <f t="shared" si="16"/>
        <v>472</v>
      </c>
      <c r="L137" s="27">
        <f t="shared" si="16"/>
        <v>1927</v>
      </c>
      <c r="M137" s="28">
        <f>SUM(E137/E121)-1</f>
        <v>2.0054115932979455E-2</v>
      </c>
    </row>
    <row r="138" spans="1:13" x14ac:dyDescent="0.3">
      <c r="A138" s="531"/>
      <c r="B138" s="9" t="s">
        <v>16</v>
      </c>
      <c r="C138" s="10" t="s">
        <v>21</v>
      </c>
      <c r="D138" s="10" t="s">
        <v>21</v>
      </c>
      <c r="E138" s="10" t="s">
        <v>21</v>
      </c>
      <c r="F138" s="15" t="s">
        <v>21</v>
      </c>
      <c r="G138" s="15" t="s">
        <v>21</v>
      </c>
      <c r="H138" s="15" t="s">
        <v>21</v>
      </c>
      <c r="I138" s="16"/>
      <c r="J138" s="27"/>
      <c r="K138" s="27"/>
      <c r="L138" s="27"/>
      <c r="M138" s="28"/>
    </row>
    <row r="139" spans="1:13" x14ac:dyDescent="0.3">
      <c r="A139" s="531"/>
      <c r="B139" s="18" t="s">
        <v>17</v>
      </c>
      <c r="C139" s="20">
        <v>52046</v>
      </c>
      <c r="D139" s="20">
        <v>485792</v>
      </c>
      <c r="E139" s="20">
        <v>537838</v>
      </c>
      <c r="F139" s="22">
        <v>1087</v>
      </c>
      <c r="G139" s="22">
        <v>1647</v>
      </c>
      <c r="H139" s="22">
        <v>2734</v>
      </c>
      <c r="I139" s="23"/>
      <c r="J139" s="29">
        <f>C139-C123</f>
        <v>-26717</v>
      </c>
      <c r="K139" s="29">
        <f>D139-D123</f>
        <v>1870</v>
      </c>
      <c r="L139" s="29">
        <f>E139-E123</f>
        <v>-24847</v>
      </c>
      <c r="M139" s="30">
        <f>SUM(E139/E123)-1</f>
        <v>-4.4157921394741284E-2</v>
      </c>
    </row>
    <row r="140" spans="1:13" x14ac:dyDescent="0.3">
      <c r="A140" s="531"/>
      <c r="B140" s="9"/>
      <c r="C140" s="10" t="s">
        <v>21</v>
      </c>
      <c r="D140" s="10" t="s">
        <v>21</v>
      </c>
      <c r="E140" s="10" t="s">
        <v>21</v>
      </c>
      <c r="F140" s="15" t="s">
        <v>21</v>
      </c>
      <c r="G140" s="15" t="s">
        <v>21</v>
      </c>
      <c r="H140" s="15" t="s">
        <v>21</v>
      </c>
      <c r="I140" s="16"/>
      <c r="J140" s="27"/>
      <c r="K140" s="27"/>
      <c r="L140" s="27"/>
      <c r="M140" s="28"/>
    </row>
    <row r="141" spans="1:13" x14ac:dyDescent="0.3">
      <c r="A141" s="531"/>
      <c r="B141" s="9" t="s">
        <v>2</v>
      </c>
      <c r="C141" s="14">
        <v>20363</v>
      </c>
      <c r="D141" s="14">
        <v>197675</v>
      </c>
      <c r="E141" s="14">
        <v>218038</v>
      </c>
      <c r="F141" s="25">
        <v>22</v>
      </c>
      <c r="G141" s="15">
        <v>33</v>
      </c>
      <c r="H141" s="15">
        <v>55</v>
      </c>
      <c r="I141" s="16"/>
      <c r="J141" s="27" t="e">
        <f t="shared" ref="J141:L142" si="17">C141-C125</f>
        <v>#VALUE!</v>
      </c>
      <c r="K141" s="27">
        <f t="shared" si="17"/>
        <v>-29930</v>
      </c>
      <c r="L141" s="27">
        <f t="shared" si="17"/>
        <v>-14668</v>
      </c>
      <c r="M141" s="28">
        <f>SUM(E141/E125)-1</f>
        <v>-6.3032324048370003E-2</v>
      </c>
    </row>
    <row r="142" spans="1:13" x14ac:dyDescent="0.3">
      <c r="A142" s="531"/>
      <c r="B142" s="9" t="s">
        <v>18</v>
      </c>
      <c r="C142" s="14" t="s">
        <v>22</v>
      </c>
      <c r="D142" s="14">
        <v>27502</v>
      </c>
      <c r="E142" s="14">
        <v>27502</v>
      </c>
      <c r="F142" s="25" t="s">
        <v>22</v>
      </c>
      <c r="G142" s="15">
        <v>44</v>
      </c>
      <c r="H142" s="15">
        <v>44</v>
      </c>
      <c r="I142" s="16"/>
      <c r="J142" s="27" t="e">
        <f t="shared" si="17"/>
        <v>#VALUE!</v>
      </c>
      <c r="K142" s="27">
        <f t="shared" si="17"/>
        <v>1551</v>
      </c>
      <c r="L142" s="27">
        <f t="shared" si="17"/>
        <v>-372</v>
      </c>
      <c r="M142" s="28">
        <f>SUM(E142/E126)-1</f>
        <v>-1.3345770251847577E-2</v>
      </c>
    </row>
    <row r="143" spans="1:13" x14ac:dyDescent="0.3">
      <c r="A143" s="531"/>
      <c r="B143" s="9"/>
      <c r="C143" s="10" t="s">
        <v>21</v>
      </c>
      <c r="D143" s="10" t="s">
        <v>21</v>
      </c>
      <c r="E143" s="10" t="s">
        <v>21</v>
      </c>
      <c r="F143" s="15" t="s">
        <v>21</v>
      </c>
      <c r="G143" s="15" t="s">
        <v>21</v>
      </c>
      <c r="H143" s="15" t="s">
        <v>21</v>
      </c>
      <c r="I143" s="16"/>
      <c r="J143" s="27"/>
      <c r="K143" s="27"/>
      <c r="L143" s="27"/>
      <c r="M143" s="28"/>
    </row>
    <row r="144" spans="1:13" x14ac:dyDescent="0.3">
      <c r="A144" s="531"/>
      <c r="B144" s="18" t="s">
        <v>9</v>
      </c>
      <c r="C144" s="20">
        <v>72409</v>
      </c>
      <c r="D144" s="20">
        <v>710969</v>
      </c>
      <c r="E144" s="20">
        <v>783378</v>
      </c>
      <c r="F144" s="22">
        <v>1109</v>
      </c>
      <c r="G144" s="22">
        <v>1724</v>
      </c>
      <c r="H144" s="22">
        <v>2833</v>
      </c>
      <c r="I144" s="23"/>
      <c r="J144" s="33">
        <f>C144-C128</f>
        <v>-13378</v>
      </c>
      <c r="K144" s="33">
        <f>D144-D128</f>
        <v>-26509</v>
      </c>
      <c r="L144" s="33">
        <f>E144-E128</f>
        <v>-39887</v>
      </c>
      <c r="M144" s="34">
        <f>SUM(E144/E128)-1</f>
        <v>-4.8449770122621527E-2</v>
      </c>
    </row>
    <row r="148" spans="1:13" ht="25.5" customHeight="1" x14ac:dyDescent="0.3">
      <c r="B148" s="528" t="s">
        <v>4</v>
      </c>
      <c r="C148" s="45" t="s">
        <v>5</v>
      </c>
      <c r="D148" s="46"/>
      <c r="E148" s="47"/>
      <c r="F148" s="532" t="s">
        <v>6</v>
      </c>
      <c r="G148" s="532"/>
      <c r="H148" s="532"/>
      <c r="I148" s="8"/>
      <c r="J148" s="8"/>
      <c r="L148" s="524" t="s">
        <v>10</v>
      </c>
      <c r="M148" s="525"/>
    </row>
    <row r="149" spans="1:13" x14ac:dyDescent="0.3">
      <c r="B149" s="529"/>
      <c r="C149" s="6" t="s">
        <v>7</v>
      </c>
      <c r="D149" s="6" t="s">
        <v>8</v>
      </c>
      <c r="E149" s="6" t="s">
        <v>9</v>
      </c>
      <c r="F149" s="7" t="s">
        <v>7</v>
      </c>
      <c r="G149" s="7" t="s">
        <v>8</v>
      </c>
      <c r="H149" s="7" t="s">
        <v>9</v>
      </c>
      <c r="I149" s="8"/>
      <c r="J149" s="6" t="s">
        <v>19</v>
      </c>
      <c r="K149" s="6" t="s">
        <v>20</v>
      </c>
      <c r="L149" s="526"/>
      <c r="M149" s="527"/>
    </row>
    <row r="150" spans="1:13" x14ac:dyDescent="0.3">
      <c r="A150" s="530">
        <v>39539</v>
      </c>
      <c r="B150" s="9" t="s">
        <v>11</v>
      </c>
      <c r="C150" s="9"/>
      <c r="D150" s="9"/>
      <c r="E150" s="9"/>
      <c r="F150" s="11"/>
      <c r="G150" s="11"/>
      <c r="H150" s="11"/>
      <c r="I150" s="12"/>
      <c r="J150" s="24"/>
      <c r="K150" s="24"/>
      <c r="L150" s="24"/>
      <c r="M150" s="24"/>
    </row>
    <row r="151" spans="1:13" x14ac:dyDescent="0.3">
      <c r="A151" s="531"/>
      <c r="B151" s="9" t="s">
        <v>12</v>
      </c>
      <c r="C151" s="14">
        <v>50830</v>
      </c>
      <c r="D151" s="14">
        <v>300732</v>
      </c>
      <c r="E151" s="14">
        <v>351562</v>
      </c>
      <c r="F151" s="15">
        <v>688</v>
      </c>
      <c r="G151" s="15">
        <v>689</v>
      </c>
      <c r="H151" s="15">
        <v>1377</v>
      </c>
      <c r="I151" s="16"/>
      <c r="J151" s="27">
        <f t="shared" ref="J151:L154" si="18">C151-C134</f>
        <v>13676</v>
      </c>
      <c r="K151" s="27">
        <f t="shared" si="18"/>
        <v>-5227</v>
      </c>
      <c r="L151" s="27">
        <f t="shared" si="18"/>
        <v>8449</v>
      </c>
      <c r="M151" s="28">
        <f>SUM(E151/E134)-1</f>
        <v>2.4624540603241485E-2</v>
      </c>
    </row>
    <row r="152" spans="1:13" x14ac:dyDescent="0.3">
      <c r="A152" s="531"/>
      <c r="B152" s="9" t="s">
        <v>13</v>
      </c>
      <c r="C152" s="14">
        <v>9913</v>
      </c>
      <c r="D152" s="14">
        <v>29757</v>
      </c>
      <c r="E152" s="14">
        <v>39670</v>
      </c>
      <c r="F152" s="15">
        <v>109</v>
      </c>
      <c r="G152" s="15">
        <v>78</v>
      </c>
      <c r="H152" s="15">
        <v>187</v>
      </c>
      <c r="I152" s="16"/>
      <c r="J152" s="27">
        <f t="shared" si="18"/>
        <v>7175</v>
      </c>
      <c r="K152" s="27">
        <f t="shared" si="18"/>
        <v>-2827</v>
      </c>
      <c r="L152" s="27">
        <f t="shared" si="18"/>
        <v>4348</v>
      </c>
      <c r="M152" s="28">
        <f>SUM(E152/E135)-1</f>
        <v>0.12309608742426814</v>
      </c>
    </row>
    <row r="153" spans="1:13" x14ac:dyDescent="0.3">
      <c r="A153" s="531"/>
      <c r="B153" s="9" t="s">
        <v>14</v>
      </c>
      <c r="C153" s="14">
        <v>13857</v>
      </c>
      <c r="D153" s="14">
        <v>56940</v>
      </c>
      <c r="E153" s="14">
        <v>70797</v>
      </c>
      <c r="F153" s="15">
        <v>20</v>
      </c>
      <c r="G153" s="15">
        <v>40</v>
      </c>
      <c r="H153" s="15">
        <v>60</v>
      </c>
      <c r="I153" s="16"/>
      <c r="J153" s="27">
        <f t="shared" si="18"/>
        <v>12600</v>
      </c>
      <c r="K153" s="27">
        <f t="shared" si="18"/>
        <v>-3189</v>
      </c>
      <c r="L153" s="27">
        <f t="shared" si="18"/>
        <v>9411</v>
      </c>
      <c r="M153" s="28">
        <f>SUM(E153/E136)-1</f>
        <v>0.15330857198709813</v>
      </c>
    </row>
    <row r="154" spans="1:13" x14ac:dyDescent="0.3">
      <c r="A154" s="531"/>
      <c r="B154" s="9" t="s">
        <v>15</v>
      </c>
      <c r="C154" s="14">
        <v>8785</v>
      </c>
      <c r="D154" s="14">
        <v>84893</v>
      </c>
      <c r="E154" s="14">
        <v>93678</v>
      </c>
      <c r="F154" s="15">
        <v>314</v>
      </c>
      <c r="G154" s="15">
        <v>681</v>
      </c>
      <c r="H154" s="15">
        <v>995</v>
      </c>
      <c r="I154" s="16"/>
      <c r="J154" s="27">
        <f t="shared" si="18"/>
        <v>-2112</v>
      </c>
      <c r="K154" s="27">
        <f t="shared" si="18"/>
        <v>-2227</v>
      </c>
      <c r="L154" s="27">
        <f t="shared" si="18"/>
        <v>-4339</v>
      </c>
      <c r="M154" s="28">
        <f>SUM(E154/E137)-1</f>
        <v>-4.4267831090525123E-2</v>
      </c>
    </row>
    <row r="155" spans="1:13" x14ac:dyDescent="0.3">
      <c r="A155" s="531"/>
      <c r="B155" s="9" t="s">
        <v>16</v>
      </c>
      <c r="C155" s="10"/>
      <c r="D155" s="10"/>
      <c r="E155" s="10"/>
      <c r="F155" s="15"/>
      <c r="G155" s="15"/>
      <c r="H155" s="15"/>
      <c r="I155" s="16"/>
      <c r="J155" s="27"/>
      <c r="K155" s="27"/>
      <c r="L155" s="27"/>
      <c r="M155" s="28"/>
    </row>
    <row r="156" spans="1:13" x14ac:dyDescent="0.3">
      <c r="A156" s="531"/>
      <c r="B156" s="18" t="s">
        <v>17</v>
      </c>
      <c r="C156" s="20">
        <v>83385</v>
      </c>
      <c r="D156" s="20">
        <v>472322</v>
      </c>
      <c r="E156" s="20">
        <v>555707</v>
      </c>
      <c r="F156" s="22">
        <v>1131</v>
      </c>
      <c r="G156" s="22">
        <v>1488</v>
      </c>
      <c r="H156" s="22">
        <v>2619</v>
      </c>
      <c r="I156" s="23"/>
      <c r="J156" s="29">
        <f>C156-C139</f>
        <v>31339</v>
      </c>
      <c r="K156" s="29">
        <f>D156-D139</f>
        <v>-13470</v>
      </c>
      <c r="L156" s="29">
        <f>E156-E139</f>
        <v>17869</v>
      </c>
      <c r="M156" s="30">
        <f>SUM(E156/E139)-1</f>
        <v>3.3223758827007455E-2</v>
      </c>
    </row>
    <row r="157" spans="1:13" x14ac:dyDescent="0.3">
      <c r="A157" s="531"/>
      <c r="B157" s="9"/>
      <c r="C157" s="10"/>
      <c r="D157" s="10"/>
      <c r="E157" s="10"/>
      <c r="F157" s="15"/>
      <c r="G157" s="15"/>
      <c r="H157" s="15"/>
      <c r="I157" s="16"/>
      <c r="J157" s="27"/>
      <c r="K157" s="27"/>
      <c r="L157" s="27"/>
      <c r="M157" s="28"/>
    </row>
    <row r="158" spans="1:13" x14ac:dyDescent="0.3">
      <c r="A158" s="531"/>
      <c r="B158" s="9" t="s">
        <v>2</v>
      </c>
      <c r="C158" s="14">
        <v>9049</v>
      </c>
      <c r="D158" s="14">
        <v>195418</v>
      </c>
      <c r="E158" s="14">
        <v>204467</v>
      </c>
      <c r="F158" s="15">
        <v>10</v>
      </c>
      <c r="G158" s="15">
        <v>27</v>
      </c>
      <c r="H158" s="15">
        <v>37</v>
      </c>
      <c r="I158" s="16"/>
      <c r="J158" s="27">
        <f t="shared" ref="J158:L159" si="19">C158-C141</f>
        <v>-11314</v>
      </c>
      <c r="K158" s="27">
        <f t="shared" si="19"/>
        <v>-2257</v>
      </c>
      <c r="L158" s="27">
        <f t="shared" si="19"/>
        <v>-13571</v>
      </c>
      <c r="M158" s="28">
        <f>SUM(E158/E141)-1</f>
        <v>-6.2241444151936776E-2</v>
      </c>
    </row>
    <row r="159" spans="1:13" x14ac:dyDescent="0.3">
      <c r="A159" s="531"/>
      <c r="B159" s="9" t="s">
        <v>18</v>
      </c>
      <c r="C159" s="14">
        <v>2721</v>
      </c>
      <c r="D159" s="14">
        <v>26635</v>
      </c>
      <c r="E159" s="14">
        <v>29356</v>
      </c>
      <c r="F159" s="15">
        <v>38</v>
      </c>
      <c r="G159" s="15">
        <v>44</v>
      </c>
      <c r="H159" s="15">
        <v>82</v>
      </c>
      <c r="I159" s="16"/>
      <c r="J159" s="27" t="e">
        <f t="shared" si="19"/>
        <v>#VALUE!</v>
      </c>
      <c r="K159" s="27">
        <f t="shared" si="19"/>
        <v>-867</v>
      </c>
      <c r="L159" s="27">
        <f t="shared" si="19"/>
        <v>1854</v>
      </c>
      <c r="M159" s="28">
        <f>SUM(E159/E142)-1</f>
        <v>6.7413279034252094E-2</v>
      </c>
    </row>
    <row r="160" spans="1:13" x14ac:dyDescent="0.3">
      <c r="A160" s="531"/>
      <c r="B160" s="9"/>
      <c r="C160" s="10"/>
      <c r="D160" s="10"/>
      <c r="E160" s="10"/>
      <c r="F160" s="15"/>
      <c r="G160" s="15"/>
      <c r="H160" s="15"/>
      <c r="I160" s="16"/>
      <c r="J160" s="27"/>
      <c r="K160" s="27"/>
      <c r="L160" s="27"/>
      <c r="M160" s="28"/>
    </row>
    <row r="161" spans="1:13" x14ac:dyDescent="0.3">
      <c r="A161" s="531"/>
      <c r="B161" s="18" t="s">
        <v>9</v>
      </c>
      <c r="C161" s="20">
        <v>95155</v>
      </c>
      <c r="D161" s="20">
        <v>694375</v>
      </c>
      <c r="E161" s="20">
        <v>789530</v>
      </c>
      <c r="F161" s="22">
        <v>1179</v>
      </c>
      <c r="G161" s="22">
        <v>1559</v>
      </c>
      <c r="H161" s="22">
        <v>2738</v>
      </c>
      <c r="I161" s="23"/>
      <c r="J161" s="33">
        <f>C161-C144</f>
        <v>22746</v>
      </c>
      <c r="K161" s="33">
        <f>D161-D144</f>
        <v>-16594</v>
      </c>
      <c r="L161" s="33">
        <f>E161-E144</f>
        <v>6152</v>
      </c>
      <c r="M161" s="34">
        <f>SUM(E161/E144)-1</f>
        <v>7.8531692235421779E-3</v>
      </c>
    </row>
    <row r="165" spans="1:13" x14ac:dyDescent="0.3">
      <c r="B165" s="528" t="s">
        <v>4</v>
      </c>
      <c r="C165" s="45" t="s">
        <v>5</v>
      </c>
      <c r="D165" s="46"/>
      <c r="E165" s="47"/>
      <c r="F165" s="532" t="s">
        <v>6</v>
      </c>
      <c r="G165" s="532"/>
      <c r="H165" s="532"/>
      <c r="I165" s="8"/>
      <c r="J165" s="8"/>
      <c r="L165" s="524" t="s">
        <v>10</v>
      </c>
      <c r="M165" s="525"/>
    </row>
    <row r="166" spans="1:13" x14ac:dyDescent="0.3">
      <c r="B166" s="529"/>
      <c r="C166" s="6" t="s">
        <v>7</v>
      </c>
      <c r="D166" s="6" t="s">
        <v>8</v>
      </c>
      <c r="E166" s="6" t="s">
        <v>9</v>
      </c>
      <c r="F166" s="7" t="s">
        <v>7</v>
      </c>
      <c r="G166" s="7" t="s">
        <v>8</v>
      </c>
      <c r="H166" s="7" t="s">
        <v>9</v>
      </c>
      <c r="I166" s="8"/>
      <c r="J166" s="6" t="s">
        <v>19</v>
      </c>
      <c r="K166" s="6" t="s">
        <v>20</v>
      </c>
      <c r="L166" s="526"/>
      <c r="M166" s="527"/>
    </row>
    <row r="167" spans="1:13" x14ac:dyDescent="0.3">
      <c r="A167" s="530">
        <v>39569</v>
      </c>
      <c r="B167" s="9" t="s">
        <v>11</v>
      </c>
      <c r="C167" s="48"/>
      <c r="D167" s="48"/>
      <c r="E167" s="48"/>
      <c r="F167" s="49"/>
      <c r="G167" s="49"/>
      <c r="H167" s="49"/>
      <c r="I167" s="12"/>
      <c r="J167" s="24"/>
      <c r="K167" s="24"/>
      <c r="L167" s="24"/>
      <c r="M167" s="24"/>
    </row>
    <row r="168" spans="1:13" x14ac:dyDescent="0.3">
      <c r="A168" s="531"/>
      <c r="B168" s="50" t="s">
        <v>12</v>
      </c>
      <c r="C168" s="25">
        <v>40962</v>
      </c>
      <c r="D168" s="25">
        <v>311548</v>
      </c>
      <c r="E168" s="25">
        <v>352510</v>
      </c>
      <c r="F168" s="15">
        <v>799</v>
      </c>
      <c r="G168" s="15">
        <v>815</v>
      </c>
      <c r="H168" s="25">
        <v>1614</v>
      </c>
      <c r="I168" s="16"/>
      <c r="J168" s="27">
        <f t="shared" ref="J168:L171" si="20">C168-C151</f>
        <v>-9868</v>
      </c>
      <c r="K168" s="27">
        <f t="shared" si="20"/>
        <v>10816</v>
      </c>
      <c r="L168" s="27">
        <f t="shared" si="20"/>
        <v>948</v>
      </c>
      <c r="M168" s="28">
        <f>SUM(E168/E151)-1</f>
        <v>2.6965371684084527E-3</v>
      </c>
    </row>
    <row r="169" spans="1:13" x14ac:dyDescent="0.3">
      <c r="A169" s="531"/>
      <c r="B169" s="50" t="s">
        <v>13</v>
      </c>
      <c r="C169" s="25">
        <v>6925</v>
      </c>
      <c r="D169" s="25">
        <v>35491</v>
      </c>
      <c r="E169" s="25">
        <v>42416</v>
      </c>
      <c r="F169" s="15">
        <v>171</v>
      </c>
      <c r="G169" s="15">
        <v>100</v>
      </c>
      <c r="H169" s="15">
        <v>271</v>
      </c>
      <c r="I169" s="16"/>
      <c r="J169" s="27">
        <f t="shared" si="20"/>
        <v>-2988</v>
      </c>
      <c r="K169" s="27">
        <f t="shared" si="20"/>
        <v>5734</v>
      </c>
      <c r="L169" s="27">
        <f t="shared" si="20"/>
        <v>2746</v>
      </c>
      <c r="M169" s="28">
        <f>SUM(E169/E152)-1</f>
        <v>6.922107385933951E-2</v>
      </c>
    </row>
    <row r="170" spans="1:13" x14ac:dyDescent="0.3">
      <c r="A170" s="531"/>
      <c r="B170" s="50" t="s">
        <v>14</v>
      </c>
      <c r="C170" s="25">
        <v>5787</v>
      </c>
      <c r="D170" s="25">
        <v>57716</v>
      </c>
      <c r="E170" s="25">
        <v>63503</v>
      </c>
      <c r="F170" s="15">
        <v>81</v>
      </c>
      <c r="G170" s="15">
        <v>34</v>
      </c>
      <c r="H170" s="15">
        <v>115</v>
      </c>
      <c r="I170" s="16"/>
      <c r="J170" s="27">
        <f t="shared" si="20"/>
        <v>-8070</v>
      </c>
      <c r="K170" s="27">
        <f t="shared" si="20"/>
        <v>776</v>
      </c>
      <c r="L170" s="27">
        <f t="shared" si="20"/>
        <v>-7294</v>
      </c>
      <c r="M170" s="28">
        <f>SUM(E170/E153)-1</f>
        <v>-0.10302696441939629</v>
      </c>
    </row>
    <row r="171" spans="1:13" x14ac:dyDescent="0.3">
      <c r="A171" s="531"/>
      <c r="B171" s="50" t="s">
        <v>15</v>
      </c>
      <c r="C171" s="25">
        <v>10981</v>
      </c>
      <c r="D171" s="25">
        <v>84771</v>
      </c>
      <c r="E171" s="25">
        <v>95752</v>
      </c>
      <c r="F171" s="15">
        <v>419</v>
      </c>
      <c r="G171" s="15">
        <v>695</v>
      </c>
      <c r="H171" s="25">
        <v>1114</v>
      </c>
      <c r="I171" s="16"/>
      <c r="J171" s="27">
        <f t="shared" si="20"/>
        <v>2196</v>
      </c>
      <c r="K171" s="27">
        <f t="shared" si="20"/>
        <v>-122</v>
      </c>
      <c r="L171" s="27">
        <f t="shared" si="20"/>
        <v>2074</v>
      </c>
      <c r="M171" s="28">
        <f>SUM(E171/E154)-1</f>
        <v>2.2139669933175288E-2</v>
      </c>
    </row>
    <row r="172" spans="1:13" x14ac:dyDescent="0.3">
      <c r="A172" s="531"/>
      <c r="B172" s="50" t="s">
        <v>16</v>
      </c>
      <c r="C172" s="15"/>
      <c r="D172" s="15"/>
      <c r="E172" s="15"/>
      <c r="F172" s="15"/>
      <c r="G172" s="15"/>
      <c r="H172" s="15"/>
      <c r="I172" s="16"/>
      <c r="J172" s="27"/>
      <c r="K172" s="27"/>
      <c r="L172" s="27"/>
      <c r="M172" s="28"/>
    </row>
    <row r="173" spans="1:13" x14ac:dyDescent="0.3">
      <c r="A173" s="531"/>
      <c r="B173" s="51" t="s">
        <v>17</v>
      </c>
      <c r="C173" s="22">
        <v>64655</v>
      </c>
      <c r="D173" s="22">
        <v>489526</v>
      </c>
      <c r="E173" s="22">
        <v>554181</v>
      </c>
      <c r="F173" s="22">
        <v>1470</v>
      </c>
      <c r="G173" s="22">
        <v>1644</v>
      </c>
      <c r="H173" s="22">
        <v>3114</v>
      </c>
      <c r="I173" s="23"/>
      <c r="J173" s="29">
        <f>C173-C156</f>
        <v>-18730</v>
      </c>
      <c r="K173" s="29">
        <f>D173-D156</f>
        <v>17204</v>
      </c>
      <c r="L173" s="29">
        <f>E173-E156</f>
        <v>-1526</v>
      </c>
      <c r="M173" s="30">
        <f>SUM(E173/E156)-1</f>
        <v>-2.7460514263811797E-3</v>
      </c>
    </row>
    <row r="174" spans="1:13" x14ac:dyDescent="0.3">
      <c r="A174" s="531"/>
      <c r="B174" s="50"/>
      <c r="C174" s="15"/>
      <c r="D174" s="15"/>
      <c r="E174" s="15"/>
      <c r="F174" s="15"/>
      <c r="G174" s="15"/>
      <c r="H174" s="15"/>
      <c r="I174" s="16"/>
      <c r="J174" s="27"/>
      <c r="K174" s="27"/>
      <c r="L174" s="27"/>
      <c r="M174" s="28"/>
    </row>
    <row r="175" spans="1:13" x14ac:dyDescent="0.3">
      <c r="A175" s="531"/>
      <c r="B175" s="50" t="s">
        <v>2</v>
      </c>
      <c r="C175" s="25">
        <v>22531</v>
      </c>
      <c r="D175" s="25">
        <v>180938</v>
      </c>
      <c r="E175" s="25">
        <v>203469</v>
      </c>
      <c r="F175" s="15">
        <v>27</v>
      </c>
      <c r="G175" s="15">
        <v>20</v>
      </c>
      <c r="H175" s="15">
        <v>47</v>
      </c>
      <c r="I175" s="16"/>
      <c r="J175" s="27">
        <f t="shared" ref="J175:L176" si="21">C175-C158</f>
        <v>13482</v>
      </c>
      <c r="K175" s="27">
        <f t="shared" si="21"/>
        <v>-14480</v>
      </c>
      <c r="L175" s="27">
        <f t="shared" si="21"/>
        <v>-998</v>
      </c>
      <c r="M175" s="28">
        <f>SUM(E175/E158)-1</f>
        <v>-4.880983239349157E-3</v>
      </c>
    </row>
    <row r="176" spans="1:13" x14ac:dyDescent="0.3">
      <c r="A176" s="531"/>
      <c r="B176" s="50" t="s">
        <v>18</v>
      </c>
      <c r="C176" s="15">
        <v>0</v>
      </c>
      <c r="D176" s="25">
        <v>28545</v>
      </c>
      <c r="E176" s="25">
        <v>28545</v>
      </c>
      <c r="F176" s="15">
        <v>0</v>
      </c>
      <c r="G176" s="15">
        <v>50</v>
      </c>
      <c r="H176" s="15">
        <v>50</v>
      </c>
      <c r="I176" s="16"/>
      <c r="J176" s="27">
        <f t="shared" si="21"/>
        <v>-2721</v>
      </c>
      <c r="K176" s="27">
        <f t="shared" si="21"/>
        <v>1910</v>
      </c>
      <c r="L176" s="27">
        <f t="shared" si="21"/>
        <v>-811</v>
      </c>
      <c r="M176" s="28">
        <f>SUM(E176/E159)-1</f>
        <v>-2.7626379615751429E-2</v>
      </c>
    </row>
    <row r="177" spans="1:16" x14ac:dyDescent="0.3">
      <c r="A177" s="531"/>
      <c r="B177" s="50"/>
      <c r="C177" s="15"/>
      <c r="D177" s="15"/>
      <c r="E177" s="15"/>
      <c r="F177" s="15"/>
      <c r="G177" s="15"/>
      <c r="H177" s="15"/>
      <c r="I177" s="16"/>
      <c r="J177" s="27"/>
      <c r="K177" s="27"/>
      <c r="L177" s="27"/>
      <c r="M177" s="28"/>
    </row>
    <row r="178" spans="1:16" x14ac:dyDescent="0.3">
      <c r="A178" s="531"/>
      <c r="B178" s="51" t="s">
        <v>9</v>
      </c>
      <c r="C178" s="22">
        <v>87186</v>
      </c>
      <c r="D178" s="22">
        <v>699009</v>
      </c>
      <c r="E178" s="22">
        <v>786195</v>
      </c>
      <c r="F178" s="22">
        <v>1497</v>
      </c>
      <c r="G178" s="22">
        <v>1714</v>
      </c>
      <c r="H178" s="22">
        <v>3211</v>
      </c>
      <c r="I178" s="23"/>
      <c r="J178" s="33">
        <f>C178-C161</f>
        <v>-7969</v>
      </c>
      <c r="K178" s="33">
        <f>D178-D161</f>
        <v>4634</v>
      </c>
      <c r="L178" s="33">
        <f>E178-E161</f>
        <v>-3335</v>
      </c>
      <c r="M178" s="34">
        <f>SUM(E178/E161)-1</f>
        <v>-4.2240320190493064E-3</v>
      </c>
    </row>
    <row r="182" spans="1:16" x14ac:dyDescent="0.3">
      <c r="B182" s="528" t="s">
        <v>4</v>
      </c>
      <c r="C182" s="45" t="s">
        <v>5</v>
      </c>
      <c r="D182" s="46"/>
      <c r="E182" s="47"/>
      <c r="F182" s="532" t="s">
        <v>6</v>
      </c>
      <c r="G182" s="532"/>
      <c r="H182" s="532"/>
      <c r="I182" s="8"/>
      <c r="J182" s="8"/>
      <c r="L182" s="524" t="s">
        <v>10</v>
      </c>
      <c r="M182" s="525"/>
    </row>
    <row r="183" spans="1:16" x14ac:dyDescent="0.3">
      <c r="B183" s="529"/>
      <c r="C183" s="6" t="s">
        <v>7</v>
      </c>
      <c r="D183" s="6" t="s">
        <v>8</v>
      </c>
      <c r="E183" s="6" t="s">
        <v>9</v>
      </c>
      <c r="F183" s="7" t="s">
        <v>7</v>
      </c>
      <c r="G183" s="7" t="s">
        <v>8</v>
      </c>
      <c r="H183" s="7" t="s">
        <v>9</v>
      </c>
      <c r="I183" s="8"/>
      <c r="J183" s="6" t="s">
        <v>19</v>
      </c>
      <c r="K183" s="6" t="s">
        <v>20</v>
      </c>
      <c r="L183" s="526"/>
      <c r="M183" s="527"/>
    </row>
    <row r="184" spans="1:16" x14ac:dyDescent="0.3">
      <c r="A184" s="530">
        <v>39600</v>
      </c>
      <c r="B184" s="9" t="s">
        <v>11</v>
      </c>
      <c r="C184" s="48"/>
      <c r="D184" s="48"/>
      <c r="E184" s="48"/>
      <c r="F184" s="49"/>
      <c r="G184" s="49"/>
      <c r="H184" s="49"/>
      <c r="I184" s="12"/>
      <c r="J184" s="24"/>
      <c r="K184" s="24"/>
      <c r="L184" s="24"/>
      <c r="M184" s="24"/>
    </row>
    <row r="185" spans="1:16" x14ac:dyDescent="0.3">
      <c r="A185" s="531"/>
      <c r="B185" s="50" t="s">
        <v>12</v>
      </c>
      <c r="C185" s="25">
        <v>38371</v>
      </c>
      <c r="D185" s="25">
        <v>315976</v>
      </c>
      <c r="E185" s="25">
        <v>354347</v>
      </c>
      <c r="F185" s="15">
        <v>496</v>
      </c>
      <c r="G185" s="15">
        <v>826</v>
      </c>
      <c r="H185" s="25">
        <v>1322</v>
      </c>
      <c r="I185" s="16"/>
      <c r="J185" s="27">
        <f t="shared" ref="J185:L188" si="22">C185-C168</f>
        <v>-2591</v>
      </c>
      <c r="K185" s="27">
        <f t="shared" si="22"/>
        <v>4428</v>
      </c>
      <c r="L185" s="27">
        <f t="shared" si="22"/>
        <v>1837</v>
      </c>
      <c r="M185" s="28">
        <f>SUM(E185/E168)-1</f>
        <v>5.2111996822785667E-3</v>
      </c>
      <c r="O185" s="35"/>
      <c r="P185" s="35"/>
    </row>
    <row r="186" spans="1:16" x14ac:dyDescent="0.3">
      <c r="A186" s="531"/>
      <c r="B186" s="50" t="s">
        <v>13</v>
      </c>
      <c r="C186" s="25">
        <v>3947</v>
      </c>
      <c r="D186" s="25">
        <v>38392</v>
      </c>
      <c r="E186" s="25">
        <v>42339</v>
      </c>
      <c r="F186" s="15">
        <v>73</v>
      </c>
      <c r="G186" s="15">
        <v>148</v>
      </c>
      <c r="H186" s="15">
        <v>221</v>
      </c>
      <c r="I186" s="16"/>
      <c r="J186" s="27">
        <f t="shared" si="22"/>
        <v>-2978</v>
      </c>
      <c r="K186" s="27">
        <f t="shared" si="22"/>
        <v>2901</v>
      </c>
      <c r="L186" s="27">
        <f t="shared" si="22"/>
        <v>-77</v>
      </c>
      <c r="M186" s="28">
        <f>SUM(E186/E169)-1</f>
        <v>-1.8153526970954292E-3</v>
      </c>
      <c r="O186" s="35"/>
      <c r="P186" s="35"/>
    </row>
    <row r="187" spans="1:16" x14ac:dyDescent="0.3">
      <c r="A187" s="531"/>
      <c r="B187" s="50" t="s">
        <v>14</v>
      </c>
      <c r="C187" s="25">
        <v>18744</v>
      </c>
      <c r="D187" s="25">
        <v>57336</v>
      </c>
      <c r="E187" s="25">
        <v>76080</v>
      </c>
      <c r="F187" s="15">
        <v>42</v>
      </c>
      <c r="G187" s="15">
        <v>58</v>
      </c>
      <c r="H187" s="15">
        <v>100</v>
      </c>
      <c r="I187" s="16"/>
      <c r="J187" s="27">
        <f t="shared" si="22"/>
        <v>12957</v>
      </c>
      <c r="K187" s="27">
        <f t="shared" si="22"/>
        <v>-380</v>
      </c>
      <c r="L187" s="27">
        <f t="shared" si="22"/>
        <v>12577</v>
      </c>
      <c r="M187" s="28">
        <f>SUM(E187/E170)-1</f>
        <v>0.19805363526132624</v>
      </c>
      <c r="O187" s="35"/>
      <c r="P187" s="35"/>
    </row>
    <row r="188" spans="1:16" x14ac:dyDescent="0.3">
      <c r="A188" s="531"/>
      <c r="B188" s="50" t="s">
        <v>15</v>
      </c>
      <c r="C188" s="25">
        <v>7690</v>
      </c>
      <c r="D188" s="25">
        <v>74844</v>
      </c>
      <c r="E188" s="25">
        <v>82534</v>
      </c>
      <c r="F188" s="15">
        <v>272</v>
      </c>
      <c r="G188" s="15">
        <v>619</v>
      </c>
      <c r="H188" s="25">
        <v>891</v>
      </c>
      <c r="I188" s="16"/>
      <c r="J188" s="27">
        <f t="shared" si="22"/>
        <v>-3291</v>
      </c>
      <c r="K188" s="27">
        <f t="shared" si="22"/>
        <v>-9927</v>
      </c>
      <c r="L188" s="27">
        <f t="shared" si="22"/>
        <v>-13218</v>
      </c>
      <c r="M188" s="28">
        <f>SUM(E188/E171)-1</f>
        <v>-0.13804411396106608</v>
      </c>
      <c r="O188" s="35"/>
      <c r="P188" s="35"/>
    </row>
    <row r="189" spans="1:16" x14ac:dyDescent="0.3">
      <c r="A189" s="531"/>
      <c r="B189" s="50" t="s">
        <v>16</v>
      </c>
      <c r="C189" s="15"/>
      <c r="D189" s="15"/>
      <c r="E189" s="15"/>
      <c r="F189" s="15"/>
      <c r="G189" s="15"/>
      <c r="H189" s="15"/>
      <c r="I189" s="16"/>
      <c r="J189" s="27"/>
      <c r="K189" s="27"/>
      <c r="L189" s="27"/>
      <c r="M189" s="28"/>
      <c r="O189" s="35"/>
      <c r="P189" s="35"/>
    </row>
    <row r="190" spans="1:16" x14ac:dyDescent="0.3">
      <c r="A190" s="531"/>
      <c r="B190" s="51" t="s">
        <v>17</v>
      </c>
      <c r="C190" s="22">
        <v>68752</v>
      </c>
      <c r="D190" s="22">
        <v>486548</v>
      </c>
      <c r="E190" s="22">
        <v>555300</v>
      </c>
      <c r="F190" s="22">
        <v>883</v>
      </c>
      <c r="G190" s="22">
        <v>1651</v>
      </c>
      <c r="H190" s="22">
        <v>2534</v>
      </c>
      <c r="I190" s="23"/>
      <c r="J190" s="29">
        <f>C190-C173</f>
        <v>4097</v>
      </c>
      <c r="K190" s="29">
        <f>D190-D173</f>
        <v>-2978</v>
      </c>
      <c r="L190" s="29">
        <f>E190-E173</f>
        <v>1119</v>
      </c>
      <c r="M190" s="30">
        <f>SUM(E190/E173)-1</f>
        <v>2.0191958944821842E-3</v>
      </c>
      <c r="O190" s="35"/>
      <c r="P190" s="35"/>
    </row>
    <row r="191" spans="1:16" x14ac:dyDescent="0.3">
      <c r="A191" s="531"/>
      <c r="B191" s="50"/>
      <c r="C191" s="15"/>
      <c r="D191" s="15"/>
      <c r="E191" s="15"/>
      <c r="F191" s="15"/>
      <c r="G191" s="15"/>
      <c r="H191" s="15"/>
      <c r="I191" s="16"/>
      <c r="J191" s="27"/>
      <c r="K191" s="27"/>
      <c r="L191" s="27"/>
      <c r="M191" s="28"/>
      <c r="O191" s="35"/>
      <c r="P191" s="35"/>
    </row>
    <row r="192" spans="1:16" x14ac:dyDescent="0.3">
      <c r="A192" s="531"/>
      <c r="B192" s="50" t="s">
        <v>2</v>
      </c>
      <c r="C192" s="25">
        <v>4894</v>
      </c>
      <c r="D192" s="25">
        <v>50689</v>
      </c>
      <c r="E192" s="25">
        <v>55583</v>
      </c>
      <c r="F192" s="15">
        <v>14</v>
      </c>
      <c r="G192" s="15">
        <v>21</v>
      </c>
      <c r="H192" s="15">
        <v>35</v>
      </c>
      <c r="I192" s="16"/>
      <c r="J192" s="27">
        <f t="shared" ref="J192:L193" si="23">C192-C175</f>
        <v>-17637</v>
      </c>
      <c r="K192" s="27">
        <f t="shared" si="23"/>
        <v>-130249</v>
      </c>
      <c r="L192" s="27">
        <f t="shared" si="23"/>
        <v>-147886</v>
      </c>
      <c r="M192" s="28">
        <f>SUM(E192/E175)-1</f>
        <v>-0.72682325071632536</v>
      </c>
      <c r="O192" s="35"/>
      <c r="P192" s="35"/>
    </row>
    <row r="193" spans="1:16" x14ac:dyDescent="0.3">
      <c r="A193" s="531"/>
      <c r="B193" s="50" t="s">
        <v>18</v>
      </c>
      <c r="C193" s="15">
        <v>0</v>
      </c>
      <c r="D193" s="25">
        <v>27846</v>
      </c>
      <c r="E193" s="25">
        <v>27846</v>
      </c>
      <c r="F193" s="15">
        <v>0</v>
      </c>
      <c r="G193" s="15">
        <v>48</v>
      </c>
      <c r="H193" s="15">
        <v>48</v>
      </c>
      <c r="I193" s="16"/>
      <c r="J193" s="27">
        <f t="shared" si="23"/>
        <v>0</v>
      </c>
      <c r="K193" s="27">
        <f t="shared" si="23"/>
        <v>-699</v>
      </c>
      <c r="L193" s="27">
        <f t="shared" si="23"/>
        <v>-699</v>
      </c>
      <c r="M193" s="28">
        <f>SUM(E193/E176)-1</f>
        <v>-2.4487651077246486E-2</v>
      </c>
      <c r="O193" s="35"/>
      <c r="P193" s="35"/>
    </row>
    <row r="194" spans="1:16" x14ac:dyDescent="0.3">
      <c r="A194" s="531"/>
      <c r="B194" s="50"/>
      <c r="C194" s="15"/>
      <c r="D194" s="15"/>
      <c r="E194" s="15"/>
      <c r="F194" s="15"/>
      <c r="G194" s="15"/>
      <c r="H194" s="15"/>
      <c r="I194" s="16"/>
      <c r="J194" s="27"/>
      <c r="K194" s="27"/>
      <c r="L194" s="27"/>
      <c r="M194" s="28"/>
      <c r="O194" s="35"/>
      <c r="P194" s="35"/>
    </row>
    <row r="195" spans="1:16" x14ac:dyDescent="0.3">
      <c r="A195" s="531"/>
      <c r="B195" s="51" t="s">
        <v>9</v>
      </c>
      <c r="C195" s="22">
        <v>73646</v>
      </c>
      <c r="D195" s="22">
        <v>565083</v>
      </c>
      <c r="E195" s="22">
        <v>638729</v>
      </c>
      <c r="F195" s="22">
        <v>897</v>
      </c>
      <c r="G195" s="22">
        <v>1720</v>
      </c>
      <c r="H195" s="22">
        <v>2617</v>
      </c>
      <c r="I195" s="23"/>
      <c r="J195" s="33">
        <f>C195-C178</f>
        <v>-13540</v>
      </c>
      <c r="K195" s="33">
        <f>D195-D178</f>
        <v>-133926</v>
      </c>
      <c r="L195" s="33">
        <f>E195-E178</f>
        <v>-147466</v>
      </c>
      <c r="M195" s="34">
        <f>SUM(E195/E178)-1</f>
        <v>-0.18756924172756118</v>
      </c>
      <c r="O195" s="35"/>
      <c r="P195" s="35"/>
    </row>
    <row r="197" spans="1:16" x14ac:dyDescent="0.3">
      <c r="C197" s="35"/>
      <c r="D197" s="35"/>
      <c r="E197" s="35"/>
      <c r="F197" s="35"/>
      <c r="G197" s="35"/>
      <c r="H197" s="35"/>
    </row>
    <row r="198" spans="1:16" x14ac:dyDescent="0.3">
      <c r="C198" s="35"/>
      <c r="D198" s="35"/>
      <c r="E198" s="35"/>
      <c r="F198" s="35"/>
      <c r="G198" s="35"/>
      <c r="H198" s="35"/>
    </row>
    <row r="199" spans="1:16" x14ac:dyDescent="0.3">
      <c r="B199" s="528" t="s">
        <v>4</v>
      </c>
      <c r="C199" s="45" t="s">
        <v>5</v>
      </c>
      <c r="D199" s="46"/>
      <c r="E199" s="47"/>
      <c r="F199" s="532" t="s">
        <v>6</v>
      </c>
      <c r="G199" s="532"/>
      <c r="H199" s="532"/>
      <c r="I199" s="8"/>
      <c r="J199" s="8"/>
      <c r="L199" s="524" t="s">
        <v>10</v>
      </c>
      <c r="M199" s="525"/>
    </row>
    <row r="200" spans="1:16" x14ac:dyDescent="0.3">
      <c r="B200" s="529"/>
      <c r="C200" s="6" t="s">
        <v>7</v>
      </c>
      <c r="D200" s="6" t="s">
        <v>8</v>
      </c>
      <c r="E200" s="6" t="s">
        <v>9</v>
      </c>
      <c r="F200" s="7" t="s">
        <v>7</v>
      </c>
      <c r="G200" s="7" t="s">
        <v>8</v>
      </c>
      <c r="H200" s="7" t="s">
        <v>9</v>
      </c>
      <c r="I200" s="8"/>
      <c r="J200" s="6" t="s">
        <v>19</v>
      </c>
      <c r="K200" s="6" t="s">
        <v>20</v>
      </c>
      <c r="L200" s="526"/>
      <c r="M200" s="527"/>
    </row>
    <row r="201" spans="1:16" x14ac:dyDescent="0.3">
      <c r="A201" s="530">
        <v>39630</v>
      </c>
      <c r="B201" s="9" t="s">
        <v>11</v>
      </c>
      <c r="C201" s="48"/>
      <c r="D201" s="48"/>
      <c r="E201" s="48"/>
      <c r="F201" s="49"/>
      <c r="G201" s="49"/>
      <c r="H201" s="49"/>
      <c r="I201" s="12"/>
      <c r="J201" s="24"/>
      <c r="K201" s="24"/>
      <c r="L201" s="24"/>
      <c r="M201" s="24"/>
    </row>
    <row r="202" spans="1:16" x14ac:dyDescent="0.3">
      <c r="A202" s="531"/>
      <c r="B202" s="50" t="s">
        <v>12</v>
      </c>
      <c r="C202" s="25">
        <v>23401</v>
      </c>
      <c r="D202" s="25">
        <v>313781</v>
      </c>
      <c r="E202" s="25">
        <v>337182</v>
      </c>
      <c r="F202" s="15">
        <v>337</v>
      </c>
      <c r="G202" s="15">
        <v>669</v>
      </c>
      <c r="H202" s="25">
        <v>1006</v>
      </c>
      <c r="I202" s="16"/>
      <c r="J202" s="27">
        <f t="shared" ref="J202:L205" si="24">C202-C185</f>
        <v>-14970</v>
      </c>
      <c r="K202" s="27">
        <f t="shared" si="24"/>
        <v>-2195</v>
      </c>
      <c r="L202" s="27">
        <f t="shared" si="24"/>
        <v>-17165</v>
      </c>
      <c r="M202" s="28">
        <f>SUM(E202/E185)-1</f>
        <v>-4.8441217224923561E-2</v>
      </c>
      <c r="O202" s="35"/>
      <c r="P202" s="35"/>
    </row>
    <row r="203" spans="1:16" x14ac:dyDescent="0.3">
      <c r="A203" s="531"/>
      <c r="B203" s="50" t="s">
        <v>13</v>
      </c>
      <c r="C203" s="25">
        <v>11292</v>
      </c>
      <c r="D203" s="25">
        <v>35352</v>
      </c>
      <c r="E203" s="25">
        <v>46644</v>
      </c>
      <c r="F203" s="15">
        <v>36</v>
      </c>
      <c r="G203" s="15">
        <v>93</v>
      </c>
      <c r="H203" s="15">
        <v>129</v>
      </c>
      <c r="I203" s="16"/>
      <c r="J203" s="27">
        <f t="shared" si="24"/>
        <v>7345</v>
      </c>
      <c r="K203" s="27">
        <f t="shared" si="24"/>
        <v>-3040</v>
      </c>
      <c r="L203" s="27">
        <f t="shared" si="24"/>
        <v>4305</v>
      </c>
      <c r="M203" s="28">
        <f>SUM(E203/E186)-1</f>
        <v>0.10167930277049519</v>
      </c>
      <c r="O203" s="35"/>
      <c r="P203" s="35"/>
    </row>
    <row r="204" spans="1:16" x14ac:dyDescent="0.3">
      <c r="A204" s="531"/>
      <c r="B204" s="50" t="s">
        <v>14</v>
      </c>
      <c r="C204" s="25">
        <v>2886</v>
      </c>
      <c r="D204" s="25">
        <v>65668</v>
      </c>
      <c r="E204" s="25">
        <v>68554</v>
      </c>
      <c r="F204" s="15">
        <v>11</v>
      </c>
      <c r="G204" s="15">
        <v>43</v>
      </c>
      <c r="H204" s="15">
        <v>54</v>
      </c>
      <c r="I204" s="16"/>
      <c r="J204" s="27">
        <f t="shared" si="24"/>
        <v>-15858</v>
      </c>
      <c r="K204" s="27">
        <f t="shared" si="24"/>
        <v>8332</v>
      </c>
      <c r="L204" s="27">
        <f t="shared" si="24"/>
        <v>-7526</v>
      </c>
      <c r="M204" s="28">
        <f>SUM(E204/E187)-1</f>
        <v>-9.8922187171398557E-2</v>
      </c>
      <c r="O204" s="35"/>
      <c r="P204" s="35"/>
    </row>
    <row r="205" spans="1:16" x14ac:dyDescent="0.3">
      <c r="A205" s="531"/>
      <c r="B205" s="50" t="s">
        <v>15</v>
      </c>
      <c r="C205" s="25">
        <v>4527</v>
      </c>
      <c r="D205" s="25">
        <v>72077</v>
      </c>
      <c r="E205" s="25">
        <v>76604</v>
      </c>
      <c r="F205" s="15">
        <v>158</v>
      </c>
      <c r="G205" s="15">
        <v>558</v>
      </c>
      <c r="H205" s="25">
        <v>716</v>
      </c>
      <c r="I205" s="16"/>
      <c r="J205" s="27">
        <f t="shared" si="24"/>
        <v>-3163</v>
      </c>
      <c r="K205" s="27">
        <f t="shared" si="24"/>
        <v>-2767</v>
      </c>
      <c r="L205" s="27">
        <f t="shared" si="24"/>
        <v>-5930</v>
      </c>
      <c r="M205" s="28">
        <f>SUM(E205/E188)-1</f>
        <v>-7.1849177308745515E-2</v>
      </c>
      <c r="O205" s="35"/>
      <c r="P205" s="35"/>
    </row>
    <row r="206" spans="1:16" x14ac:dyDescent="0.3">
      <c r="A206" s="531"/>
      <c r="B206" s="50" t="s">
        <v>16</v>
      </c>
      <c r="C206" s="15"/>
      <c r="D206" s="15"/>
      <c r="E206" s="15"/>
      <c r="F206" s="15"/>
      <c r="G206" s="15"/>
      <c r="H206" s="15"/>
      <c r="I206" s="16"/>
      <c r="J206" s="27"/>
      <c r="K206" s="27"/>
      <c r="L206" s="27"/>
      <c r="M206" s="28"/>
      <c r="O206" s="35"/>
      <c r="P206" s="35"/>
    </row>
    <row r="207" spans="1:16" x14ac:dyDescent="0.3">
      <c r="A207" s="531"/>
      <c r="B207" s="51" t="s">
        <v>17</v>
      </c>
      <c r="C207" s="22">
        <v>42106</v>
      </c>
      <c r="D207" s="22">
        <v>486878</v>
      </c>
      <c r="E207" s="22">
        <v>528984</v>
      </c>
      <c r="F207" s="22">
        <v>542</v>
      </c>
      <c r="G207" s="22">
        <v>1363</v>
      </c>
      <c r="H207" s="22">
        <v>1905</v>
      </c>
      <c r="I207" s="23"/>
      <c r="J207" s="29">
        <f>C207-C190</f>
        <v>-26646</v>
      </c>
      <c r="K207" s="29">
        <f>D207-D190</f>
        <v>330</v>
      </c>
      <c r="L207" s="29">
        <f>E207-E190</f>
        <v>-26316</v>
      </c>
      <c r="M207" s="30">
        <f>SUM(E207/E190)-1</f>
        <v>-4.7390599675850908E-2</v>
      </c>
      <c r="O207" s="35"/>
      <c r="P207" s="35"/>
    </row>
    <row r="208" spans="1:16" x14ac:dyDescent="0.3">
      <c r="A208" s="531"/>
      <c r="B208" s="50"/>
      <c r="C208" s="15"/>
      <c r="D208" s="15"/>
      <c r="E208" s="15"/>
      <c r="F208" s="15"/>
      <c r="G208" s="15"/>
      <c r="H208" s="15"/>
      <c r="I208" s="16"/>
      <c r="J208" s="27"/>
      <c r="K208" s="27"/>
      <c r="L208" s="27"/>
      <c r="M208" s="28"/>
      <c r="O208" s="35"/>
      <c r="P208" s="35"/>
    </row>
    <row r="209" spans="1:16" x14ac:dyDescent="0.3">
      <c r="A209" s="531"/>
      <c r="B209" s="50" t="s">
        <v>2</v>
      </c>
      <c r="C209" s="25">
        <v>3036</v>
      </c>
      <c r="D209" s="25">
        <v>37144</v>
      </c>
      <c r="E209" s="25">
        <v>40180</v>
      </c>
      <c r="F209" s="15">
        <v>13</v>
      </c>
      <c r="G209" s="15">
        <v>20</v>
      </c>
      <c r="H209" s="15">
        <v>33</v>
      </c>
      <c r="I209" s="16"/>
      <c r="J209" s="27">
        <f t="shared" ref="J209:L210" si="25">C209-C192</f>
        <v>-1858</v>
      </c>
      <c r="K209" s="27">
        <f t="shared" si="25"/>
        <v>-13545</v>
      </c>
      <c r="L209" s="27">
        <f t="shared" si="25"/>
        <v>-15403</v>
      </c>
      <c r="M209" s="28">
        <f>SUM(E209/E192)-1</f>
        <v>-0.27711710415054958</v>
      </c>
      <c r="O209" s="35"/>
      <c r="P209" s="35"/>
    </row>
    <row r="210" spans="1:16" x14ac:dyDescent="0.3">
      <c r="A210" s="531"/>
      <c r="B210" s="50" t="s">
        <v>18</v>
      </c>
      <c r="C210" s="25">
        <v>2449</v>
      </c>
      <c r="D210" s="25">
        <v>27271</v>
      </c>
      <c r="E210" s="25">
        <v>29720</v>
      </c>
      <c r="F210" s="15">
        <v>37</v>
      </c>
      <c r="G210" s="15">
        <v>45</v>
      </c>
      <c r="H210" s="15">
        <v>82</v>
      </c>
      <c r="I210" s="16"/>
      <c r="J210" s="27">
        <f t="shared" si="25"/>
        <v>2449</v>
      </c>
      <c r="K210" s="27">
        <f t="shared" si="25"/>
        <v>-575</v>
      </c>
      <c r="L210" s="27">
        <f t="shared" si="25"/>
        <v>1874</v>
      </c>
      <c r="M210" s="28">
        <f>SUM(E210/E193)-1</f>
        <v>6.729871435753787E-2</v>
      </c>
      <c r="O210" s="35"/>
      <c r="P210" s="35"/>
    </row>
    <row r="211" spans="1:16" x14ac:dyDescent="0.3">
      <c r="A211" s="531"/>
      <c r="B211" s="50"/>
      <c r="C211" s="15"/>
      <c r="D211" s="15"/>
      <c r="E211" s="15"/>
      <c r="F211" s="15"/>
      <c r="G211" s="15"/>
      <c r="H211" s="15"/>
      <c r="I211" s="16"/>
      <c r="J211" s="27"/>
      <c r="K211" s="27"/>
      <c r="L211" s="27"/>
      <c r="M211" s="28"/>
      <c r="O211" s="35"/>
      <c r="P211" s="35"/>
    </row>
    <row r="212" spans="1:16" x14ac:dyDescent="0.3">
      <c r="A212" s="531"/>
      <c r="B212" s="51" t="s">
        <v>9</v>
      </c>
      <c r="C212" s="22">
        <v>47591</v>
      </c>
      <c r="D212" s="22">
        <v>551293</v>
      </c>
      <c r="E212" s="22">
        <v>598884</v>
      </c>
      <c r="F212" s="22">
        <v>592</v>
      </c>
      <c r="G212" s="22">
        <v>1428</v>
      </c>
      <c r="H212" s="22">
        <v>2020</v>
      </c>
      <c r="I212" s="23"/>
      <c r="J212" s="33">
        <f>C212-C195</f>
        <v>-26055</v>
      </c>
      <c r="K212" s="33">
        <f>D212-D195</f>
        <v>-13790</v>
      </c>
      <c r="L212" s="33">
        <f>E212-E195</f>
        <v>-39845</v>
      </c>
      <c r="M212" s="34">
        <f>SUM(E212/E195)-1</f>
        <v>-6.2381698654672024E-2</v>
      </c>
      <c r="O212" s="35"/>
      <c r="P212" s="35"/>
    </row>
    <row r="214" spans="1:16" x14ac:dyDescent="0.3">
      <c r="C214" s="35"/>
      <c r="D214" s="35"/>
      <c r="E214" s="35"/>
      <c r="F214" s="35"/>
      <c r="G214" s="35"/>
      <c r="H214" s="35"/>
    </row>
    <row r="216" spans="1:16" x14ac:dyDescent="0.3">
      <c r="B216" s="528" t="s">
        <v>4</v>
      </c>
      <c r="C216" s="45" t="s">
        <v>5</v>
      </c>
      <c r="D216" s="46"/>
      <c r="E216" s="47"/>
      <c r="F216" s="532" t="s">
        <v>6</v>
      </c>
      <c r="G216" s="532"/>
      <c r="H216" s="532"/>
      <c r="I216" s="8"/>
      <c r="J216" s="8"/>
      <c r="L216" s="524" t="s">
        <v>10</v>
      </c>
      <c r="M216" s="525"/>
    </row>
    <row r="217" spans="1:16" x14ac:dyDescent="0.3">
      <c r="B217" s="529"/>
      <c r="C217" s="6" t="s">
        <v>7</v>
      </c>
      <c r="D217" s="6" t="s">
        <v>8</v>
      </c>
      <c r="E217" s="6" t="s">
        <v>9</v>
      </c>
      <c r="F217" s="7" t="s">
        <v>7</v>
      </c>
      <c r="G217" s="7" t="s">
        <v>8</v>
      </c>
      <c r="H217" s="7" t="s">
        <v>9</v>
      </c>
      <c r="I217" s="8"/>
      <c r="J217" s="6" t="s">
        <v>19</v>
      </c>
      <c r="K217" s="6" t="s">
        <v>20</v>
      </c>
      <c r="L217" s="526"/>
      <c r="M217" s="527"/>
    </row>
    <row r="218" spans="1:16" x14ac:dyDescent="0.3">
      <c r="A218" s="530">
        <v>39661</v>
      </c>
      <c r="B218" s="9" t="s">
        <v>11</v>
      </c>
      <c r="C218" s="48"/>
      <c r="D218" s="48"/>
      <c r="E218" s="48"/>
      <c r="F218" s="49"/>
      <c r="G218" s="49"/>
      <c r="H218" s="49"/>
      <c r="I218" s="12"/>
      <c r="J218" s="24"/>
      <c r="K218" s="24"/>
      <c r="L218" s="24"/>
      <c r="M218" s="24"/>
    </row>
    <row r="219" spans="1:16" x14ac:dyDescent="0.3">
      <c r="A219" s="531"/>
      <c r="B219" s="50" t="s">
        <v>12</v>
      </c>
      <c r="C219" s="25">
        <v>58098</v>
      </c>
      <c r="D219" s="25">
        <v>292316</v>
      </c>
      <c r="E219" s="25">
        <v>350414</v>
      </c>
      <c r="F219" s="25">
        <v>1155</v>
      </c>
      <c r="G219" s="15">
        <v>617</v>
      </c>
      <c r="H219" s="25">
        <v>1772</v>
      </c>
      <c r="I219" s="16"/>
      <c r="J219" s="27">
        <f t="shared" ref="J219:L222" si="26">C219-C202</f>
        <v>34697</v>
      </c>
      <c r="K219" s="27">
        <f t="shared" si="26"/>
        <v>-21465</v>
      </c>
      <c r="L219" s="27">
        <f t="shared" si="26"/>
        <v>13232</v>
      </c>
      <c r="M219" s="28">
        <f>SUM(E219/E202)-1</f>
        <v>3.9242901459745738E-2</v>
      </c>
      <c r="O219" s="35"/>
      <c r="P219" s="35"/>
    </row>
    <row r="220" spans="1:16" x14ac:dyDescent="0.3">
      <c r="A220" s="531"/>
      <c r="B220" s="50" t="s">
        <v>13</v>
      </c>
      <c r="C220" s="25">
        <v>13663</v>
      </c>
      <c r="D220" s="25">
        <v>42006</v>
      </c>
      <c r="E220" s="25">
        <v>55669</v>
      </c>
      <c r="F220" s="15">
        <v>209</v>
      </c>
      <c r="G220" s="15">
        <v>74</v>
      </c>
      <c r="H220" s="15">
        <v>283</v>
      </c>
      <c r="I220" s="16"/>
      <c r="J220" s="27">
        <f t="shared" si="26"/>
        <v>2371</v>
      </c>
      <c r="K220" s="27">
        <f t="shared" si="26"/>
        <v>6654</v>
      </c>
      <c r="L220" s="27">
        <f t="shared" si="26"/>
        <v>9025</v>
      </c>
      <c r="M220" s="28">
        <f>SUM(E220/E203)-1</f>
        <v>0.19348683646342502</v>
      </c>
      <c r="O220" s="35"/>
      <c r="P220" s="35"/>
    </row>
    <row r="221" spans="1:16" x14ac:dyDescent="0.3">
      <c r="A221" s="531"/>
      <c r="B221" s="50" t="s">
        <v>14</v>
      </c>
      <c r="C221" s="25">
        <v>31405</v>
      </c>
      <c r="D221" s="25">
        <v>61477</v>
      </c>
      <c r="E221" s="25">
        <v>92882</v>
      </c>
      <c r="F221" s="15">
        <v>11</v>
      </c>
      <c r="G221" s="15">
        <v>43</v>
      </c>
      <c r="H221" s="15">
        <v>54</v>
      </c>
      <c r="I221" s="16"/>
      <c r="J221" s="27">
        <f t="shared" si="26"/>
        <v>28519</v>
      </c>
      <c r="K221" s="27">
        <f t="shared" si="26"/>
        <v>-4191</v>
      </c>
      <c r="L221" s="27">
        <f t="shared" si="26"/>
        <v>24328</v>
      </c>
      <c r="M221" s="28">
        <f>SUM(E221/E204)-1</f>
        <v>0.35487353035563207</v>
      </c>
      <c r="O221" s="35"/>
      <c r="P221" s="35"/>
    </row>
    <row r="222" spans="1:16" x14ac:dyDescent="0.3">
      <c r="A222" s="531"/>
      <c r="B222" s="50" t="s">
        <v>15</v>
      </c>
      <c r="C222" s="25">
        <v>17906</v>
      </c>
      <c r="D222" s="25">
        <v>70199</v>
      </c>
      <c r="E222" s="25">
        <v>88105</v>
      </c>
      <c r="F222" s="15">
        <v>656</v>
      </c>
      <c r="G222" s="15">
        <v>549</v>
      </c>
      <c r="H222" s="25">
        <v>1205</v>
      </c>
      <c r="I222" s="16"/>
      <c r="J222" s="27">
        <f t="shared" si="26"/>
        <v>13379</v>
      </c>
      <c r="K222" s="27">
        <f t="shared" si="26"/>
        <v>-1878</v>
      </c>
      <c r="L222" s="27">
        <f t="shared" si="26"/>
        <v>11501</v>
      </c>
      <c r="M222" s="28">
        <f>SUM(E222/E205)-1</f>
        <v>0.15013576314552757</v>
      </c>
      <c r="O222" s="35"/>
      <c r="P222" s="35"/>
    </row>
    <row r="223" spans="1:16" x14ac:dyDescent="0.3">
      <c r="A223" s="531"/>
      <c r="B223" s="50" t="s">
        <v>16</v>
      </c>
      <c r="C223" s="15"/>
      <c r="D223" s="15"/>
      <c r="E223" s="15"/>
      <c r="F223" s="15"/>
      <c r="G223" s="15"/>
      <c r="H223" s="15"/>
      <c r="I223" s="16"/>
      <c r="J223" s="27"/>
      <c r="K223" s="27"/>
      <c r="L223" s="27"/>
      <c r="M223" s="28"/>
      <c r="O223" s="35"/>
      <c r="P223" s="35"/>
    </row>
    <row r="224" spans="1:16" x14ac:dyDescent="0.3">
      <c r="A224" s="531"/>
      <c r="B224" s="51" t="s">
        <v>17</v>
      </c>
      <c r="C224" s="22">
        <v>121072</v>
      </c>
      <c r="D224" s="22">
        <v>465998</v>
      </c>
      <c r="E224" s="22">
        <v>587070</v>
      </c>
      <c r="F224" s="22">
        <v>2031</v>
      </c>
      <c r="G224" s="22">
        <v>1283</v>
      </c>
      <c r="H224" s="22">
        <v>3314</v>
      </c>
      <c r="I224" s="23"/>
      <c r="J224" s="29">
        <f>C224-C207</f>
        <v>78966</v>
      </c>
      <c r="K224" s="29">
        <f>D224-D207</f>
        <v>-20880</v>
      </c>
      <c r="L224" s="29">
        <f>E224-E207</f>
        <v>58086</v>
      </c>
      <c r="M224" s="30">
        <f>SUM(E224/E207)-1</f>
        <v>0.10980672383285706</v>
      </c>
      <c r="O224" s="35"/>
      <c r="P224" s="35"/>
    </row>
    <row r="225" spans="1:16" x14ac:dyDescent="0.3">
      <c r="A225" s="531"/>
      <c r="B225" s="50"/>
      <c r="C225" s="15"/>
      <c r="D225" s="15"/>
      <c r="E225" s="15"/>
      <c r="F225" s="15"/>
      <c r="G225" s="15"/>
      <c r="H225" s="15"/>
      <c r="I225" s="16"/>
      <c r="J225" s="27"/>
      <c r="K225" s="27"/>
      <c r="L225" s="27"/>
      <c r="M225" s="28"/>
      <c r="O225" s="35"/>
      <c r="P225" s="35"/>
    </row>
    <row r="226" spans="1:16" x14ac:dyDescent="0.3">
      <c r="A226" s="531"/>
      <c r="B226" s="50" t="s">
        <v>2</v>
      </c>
      <c r="C226" s="25">
        <v>25551</v>
      </c>
      <c r="D226" s="25">
        <v>14182.75</v>
      </c>
      <c r="E226" s="25">
        <f>SUM(C226:D226)</f>
        <v>39733.75</v>
      </c>
      <c r="F226" s="15">
        <v>13</v>
      </c>
      <c r="G226" s="15">
        <v>20</v>
      </c>
      <c r="H226" s="15">
        <v>33</v>
      </c>
      <c r="I226" s="16"/>
      <c r="J226" s="27">
        <f t="shared" ref="J226:L227" si="27">C226-C209</f>
        <v>22515</v>
      </c>
      <c r="K226" s="27">
        <f t="shared" si="27"/>
        <v>-22961.25</v>
      </c>
      <c r="L226" s="27">
        <f t="shared" si="27"/>
        <v>-446.25</v>
      </c>
      <c r="M226" s="28">
        <f>SUM(E226/E209)-1</f>
        <v>-1.1106271777003518E-2</v>
      </c>
      <c r="O226" s="35"/>
      <c r="P226" s="35"/>
    </row>
    <row r="227" spans="1:16" x14ac:dyDescent="0.3">
      <c r="A227" s="531"/>
      <c r="B227" s="50" t="s">
        <v>18</v>
      </c>
      <c r="C227" s="25">
        <v>0</v>
      </c>
      <c r="D227" s="25">
        <v>28457</v>
      </c>
      <c r="E227" s="25">
        <v>28457</v>
      </c>
      <c r="F227" s="15">
        <v>0</v>
      </c>
      <c r="G227" s="15">
        <v>52</v>
      </c>
      <c r="H227" s="15">
        <v>52</v>
      </c>
      <c r="I227" s="16"/>
      <c r="J227" s="27">
        <f t="shared" si="27"/>
        <v>-2449</v>
      </c>
      <c r="K227" s="27">
        <f t="shared" si="27"/>
        <v>1186</v>
      </c>
      <c r="L227" s="27">
        <f t="shared" si="27"/>
        <v>-1263</v>
      </c>
      <c r="M227" s="28">
        <f>SUM(E227/E210)-1</f>
        <v>-4.2496635262449511E-2</v>
      </c>
      <c r="O227" s="35"/>
      <c r="P227" s="35"/>
    </row>
    <row r="228" spans="1:16" x14ac:dyDescent="0.3">
      <c r="A228" s="531"/>
      <c r="B228" s="50"/>
      <c r="C228" s="15"/>
      <c r="D228" s="15"/>
      <c r="E228" s="15"/>
      <c r="F228" s="15"/>
      <c r="G228" s="15"/>
      <c r="H228" s="15"/>
      <c r="I228" s="16"/>
      <c r="J228" s="27"/>
      <c r="K228" s="27"/>
      <c r="L228" s="27"/>
      <c r="M228" s="28"/>
      <c r="O228" s="35"/>
      <c r="P228" s="35"/>
    </row>
    <row r="229" spans="1:16" x14ac:dyDescent="0.3">
      <c r="A229" s="531"/>
      <c r="B229" s="51" t="s">
        <v>9</v>
      </c>
      <c r="C229" s="22">
        <v>146623</v>
      </c>
      <c r="D229" s="22">
        <v>508638</v>
      </c>
      <c r="E229" s="22">
        <v>655261</v>
      </c>
      <c r="F229" s="22">
        <v>2044</v>
      </c>
      <c r="G229" s="22">
        <v>1355</v>
      </c>
      <c r="H229" s="22">
        <v>3399</v>
      </c>
      <c r="I229" s="23"/>
      <c r="J229" s="33">
        <f>C229-C212</f>
        <v>99032</v>
      </c>
      <c r="K229" s="33">
        <f>D229-D212</f>
        <v>-42655</v>
      </c>
      <c r="L229" s="33">
        <f>E229-E212</f>
        <v>56377</v>
      </c>
      <c r="M229" s="34">
        <f>SUM(E229/E212)-1</f>
        <v>9.4136761042205253E-2</v>
      </c>
      <c r="O229" s="35"/>
      <c r="P229" s="35"/>
    </row>
    <row r="231" spans="1:16" x14ac:dyDescent="0.3">
      <c r="C231" s="35"/>
      <c r="D231" s="35"/>
      <c r="E231" s="35"/>
      <c r="F231" s="35"/>
      <c r="G231" s="35"/>
      <c r="H231" s="35"/>
    </row>
    <row r="232" spans="1:16" x14ac:dyDescent="0.3">
      <c r="C232" s="35"/>
      <c r="D232" s="35"/>
      <c r="E232" s="35"/>
      <c r="F232" s="35"/>
      <c r="G232" s="35"/>
      <c r="H232" s="35"/>
    </row>
    <row r="233" spans="1:16" x14ac:dyDescent="0.3">
      <c r="B233" s="528" t="s">
        <v>4</v>
      </c>
      <c r="C233" s="45" t="s">
        <v>5</v>
      </c>
      <c r="D233" s="46"/>
      <c r="E233" s="47"/>
      <c r="F233" s="532" t="s">
        <v>6</v>
      </c>
      <c r="G233" s="532"/>
      <c r="H233" s="532"/>
      <c r="I233" s="8"/>
      <c r="J233" s="8"/>
      <c r="L233" s="524" t="s">
        <v>10</v>
      </c>
      <c r="M233" s="525"/>
    </row>
    <row r="234" spans="1:16" x14ac:dyDescent="0.3">
      <c r="B234" s="529"/>
      <c r="C234" s="6" t="s">
        <v>7</v>
      </c>
      <c r="D234" s="6" t="s">
        <v>8</v>
      </c>
      <c r="E234" s="6" t="s">
        <v>9</v>
      </c>
      <c r="F234" s="7" t="s">
        <v>7</v>
      </c>
      <c r="G234" s="7" t="s">
        <v>8</v>
      </c>
      <c r="H234" s="7" t="s">
        <v>9</v>
      </c>
      <c r="I234" s="8"/>
      <c r="J234" s="6" t="s">
        <v>19</v>
      </c>
      <c r="K234" s="6" t="s">
        <v>20</v>
      </c>
      <c r="L234" s="526"/>
      <c r="M234" s="527"/>
    </row>
    <row r="235" spans="1:16" x14ac:dyDescent="0.3">
      <c r="A235" s="530">
        <v>39692</v>
      </c>
      <c r="B235" s="9" t="s">
        <v>11</v>
      </c>
      <c r="C235" s="48"/>
      <c r="D235" s="48"/>
      <c r="E235" s="48"/>
      <c r="F235" s="49"/>
      <c r="G235" s="49"/>
      <c r="H235" s="49"/>
      <c r="I235" s="12"/>
      <c r="J235" s="24"/>
      <c r="K235" s="24"/>
      <c r="L235" s="24"/>
      <c r="M235" s="24"/>
    </row>
    <row r="236" spans="1:16" x14ac:dyDescent="0.3">
      <c r="A236" s="531"/>
      <c r="B236" s="50" t="s">
        <v>12</v>
      </c>
      <c r="C236" s="25">
        <v>27991</v>
      </c>
      <c r="D236" s="25">
        <v>316325</v>
      </c>
      <c r="E236" s="25">
        <v>344316</v>
      </c>
      <c r="F236" s="25">
        <v>397</v>
      </c>
      <c r="G236" s="15">
        <v>928</v>
      </c>
      <c r="H236" s="25">
        <v>1325</v>
      </c>
      <c r="I236" s="16"/>
      <c r="J236" s="27">
        <f t="shared" ref="J236:L239" si="28">C236-C219</f>
        <v>-30107</v>
      </c>
      <c r="K236" s="27">
        <f t="shared" si="28"/>
        <v>24009</v>
      </c>
      <c r="L236" s="27">
        <f t="shared" si="28"/>
        <v>-6098</v>
      </c>
      <c r="M236" s="28">
        <f>SUM(E236/E219)-1</f>
        <v>-1.7402272740244418E-2</v>
      </c>
      <c r="O236" s="35"/>
      <c r="P236" s="35"/>
    </row>
    <row r="237" spans="1:16" x14ac:dyDescent="0.3">
      <c r="A237" s="531"/>
      <c r="B237" s="50" t="s">
        <v>13</v>
      </c>
      <c r="C237" s="25">
        <v>7327</v>
      </c>
      <c r="D237" s="25">
        <v>48028</v>
      </c>
      <c r="E237" s="25">
        <v>55355</v>
      </c>
      <c r="F237" s="15">
        <v>74</v>
      </c>
      <c r="G237" s="15">
        <v>137</v>
      </c>
      <c r="H237" s="25">
        <v>211</v>
      </c>
      <c r="I237" s="16"/>
      <c r="J237" s="27">
        <f t="shared" si="28"/>
        <v>-6336</v>
      </c>
      <c r="K237" s="27">
        <f t="shared" si="28"/>
        <v>6022</v>
      </c>
      <c r="L237" s="27">
        <f t="shared" si="28"/>
        <v>-314</v>
      </c>
      <c r="M237" s="28">
        <f>SUM(E237/E220)-1</f>
        <v>-5.6404821354792967E-3</v>
      </c>
      <c r="O237" s="35"/>
      <c r="P237" s="35"/>
    </row>
    <row r="238" spans="1:16" x14ac:dyDescent="0.3">
      <c r="A238" s="531"/>
      <c r="B238" s="50" t="s">
        <v>14</v>
      </c>
      <c r="C238" s="25">
        <v>2316</v>
      </c>
      <c r="D238" s="25">
        <v>85863</v>
      </c>
      <c r="E238" s="25">
        <v>88179</v>
      </c>
      <c r="F238" s="15">
        <v>33</v>
      </c>
      <c r="G238" s="15">
        <v>64</v>
      </c>
      <c r="H238" s="15">
        <v>97</v>
      </c>
      <c r="I238" s="16"/>
      <c r="J238" s="27">
        <f t="shared" si="28"/>
        <v>-29089</v>
      </c>
      <c r="K238" s="27">
        <f t="shared" si="28"/>
        <v>24386</v>
      </c>
      <c r="L238" s="27">
        <f t="shared" si="28"/>
        <v>-4703</v>
      </c>
      <c r="M238" s="28">
        <f>SUM(E238/E221)-1</f>
        <v>-5.06341379384595E-2</v>
      </c>
      <c r="O238" s="35"/>
      <c r="P238" s="35"/>
    </row>
    <row r="239" spans="1:16" x14ac:dyDescent="0.3">
      <c r="A239" s="531"/>
      <c r="B239" s="50" t="s">
        <v>15</v>
      </c>
      <c r="C239" s="25">
        <v>4520</v>
      </c>
      <c r="D239" s="25">
        <v>81995</v>
      </c>
      <c r="E239" s="25">
        <v>86515</v>
      </c>
      <c r="F239" s="15">
        <v>145</v>
      </c>
      <c r="G239" s="15">
        <v>734</v>
      </c>
      <c r="H239" s="25">
        <v>879</v>
      </c>
      <c r="I239" s="16"/>
      <c r="J239" s="27">
        <f t="shared" si="28"/>
        <v>-13386</v>
      </c>
      <c r="K239" s="27">
        <f t="shared" si="28"/>
        <v>11796</v>
      </c>
      <c r="L239" s="27">
        <f t="shared" si="28"/>
        <v>-1590</v>
      </c>
      <c r="M239" s="28">
        <f>SUM(E239/E222)-1</f>
        <v>-1.80466488848533E-2</v>
      </c>
      <c r="O239" s="35"/>
      <c r="P239" s="35"/>
    </row>
    <row r="240" spans="1:16" x14ac:dyDescent="0.3">
      <c r="A240" s="531"/>
      <c r="B240" s="50" t="s">
        <v>16</v>
      </c>
      <c r="C240" s="15"/>
      <c r="D240" s="15"/>
      <c r="E240" s="15"/>
      <c r="F240" s="15"/>
      <c r="G240" s="15"/>
      <c r="H240" s="15"/>
      <c r="I240" s="16"/>
      <c r="J240" s="27"/>
      <c r="K240" s="27"/>
      <c r="L240" s="27"/>
      <c r="M240" s="28"/>
      <c r="O240" s="35"/>
      <c r="P240" s="35"/>
    </row>
    <row r="241" spans="1:16" x14ac:dyDescent="0.3">
      <c r="A241" s="531"/>
      <c r="B241" s="51" t="s">
        <v>17</v>
      </c>
      <c r="C241" s="22">
        <v>42154</v>
      </c>
      <c r="D241" s="22">
        <v>532211</v>
      </c>
      <c r="E241" s="22">
        <v>574365</v>
      </c>
      <c r="F241" s="22">
        <v>649</v>
      </c>
      <c r="G241" s="22">
        <v>1863</v>
      </c>
      <c r="H241" s="22">
        <v>2512</v>
      </c>
      <c r="I241" s="23"/>
      <c r="J241" s="29">
        <f>C241-C224</f>
        <v>-78918</v>
      </c>
      <c r="K241" s="29">
        <f>D241-D224</f>
        <v>66213</v>
      </c>
      <c r="L241" s="29">
        <f>E241-E224</f>
        <v>-12705</v>
      </c>
      <c r="M241" s="30">
        <f>SUM(E241/E224)-1</f>
        <v>-2.1641371557054478E-2</v>
      </c>
      <c r="O241" s="35"/>
      <c r="P241" s="35"/>
    </row>
    <row r="242" spans="1:16" x14ac:dyDescent="0.3">
      <c r="A242" s="531"/>
      <c r="B242" s="50"/>
      <c r="C242" s="15"/>
      <c r="D242" s="15"/>
      <c r="E242" s="15"/>
      <c r="F242" s="15"/>
      <c r="G242" s="15"/>
      <c r="H242" s="15"/>
      <c r="I242" s="16"/>
      <c r="J242" s="27"/>
      <c r="K242" s="27"/>
      <c r="L242" s="27"/>
      <c r="M242" s="28"/>
      <c r="O242" s="35"/>
      <c r="P242" s="35"/>
    </row>
    <row r="243" spans="1:16" x14ac:dyDescent="0.3">
      <c r="A243" s="531"/>
      <c r="B243" s="50" t="s">
        <v>2</v>
      </c>
      <c r="C243" s="25">
        <v>6866</v>
      </c>
      <c r="D243" s="25">
        <v>24069</v>
      </c>
      <c r="E243" s="25">
        <v>30935</v>
      </c>
      <c r="F243" s="15">
        <v>14</v>
      </c>
      <c r="G243" s="15">
        <v>19</v>
      </c>
      <c r="H243" s="15">
        <v>33</v>
      </c>
      <c r="I243" s="16"/>
      <c r="J243" s="27">
        <f t="shared" ref="J243:L244" si="29">C243-C226</f>
        <v>-18685</v>
      </c>
      <c r="K243" s="27">
        <f t="shared" si="29"/>
        <v>9886.25</v>
      </c>
      <c r="L243" s="27">
        <f t="shared" si="29"/>
        <v>-8798.75</v>
      </c>
      <c r="M243" s="28">
        <f>SUM(E243/E226)-1</f>
        <v>-0.22144272815931043</v>
      </c>
      <c r="O243" s="35"/>
      <c r="P243" s="35"/>
    </row>
    <row r="244" spans="1:16" x14ac:dyDescent="0.3">
      <c r="A244" s="531"/>
      <c r="B244" s="50" t="s">
        <v>18</v>
      </c>
      <c r="C244" s="25">
        <v>0</v>
      </c>
      <c r="D244" s="25">
        <v>27544</v>
      </c>
      <c r="E244" s="25">
        <v>27544</v>
      </c>
      <c r="F244" s="15" t="s">
        <v>22</v>
      </c>
      <c r="G244" s="15">
        <v>43</v>
      </c>
      <c r="H244" s="15">
        <v>43</v>
      </c>
      <c r="I244" s="16"/>
      <c r="J244" s="27">
        <f t="shared" si="29"/>
        <v>0</v>
      </c>
      <c r="K244" s="27">
        <f t="shared" si="29"/>
        <v>-913</v>
      </c>
      <c r="L244" s="27">
        <f t="shared" si="29"/>
        <v>-913</v>
      </c>
      <c r="M244" s="28">
        <f>SUM(E244/E227)-1</f>
        <v>-3.2083494395052203E-2</v>
      </c>
      <c r="O244" s="35"/>
      <c r="P244" s="35"/>
    </row>
    <row r="245" spans="1:16" x14ac:dyDescent="0.3">
      <c r="A245" s="531"/>
      <c r="B245" s="50"/>
      <c r="C245" s="15"/>
      <c r="D245" s="15"/>
      <c r="E245" s="15"/>
      <c r="F245" s="15"/>
      <c r="G245" s="15"/>
      <c r="H245" s="15"/>
      <c r="I245" s="16"/>
      <c r="J245" s="27"/>
      <c r="K245" s="27"/>
      <c r="L245" s="27"/>
      <c r="M245" s="28"/>
      <c r="O245" s="35"/>
      <c r="P245" s="35"/>
    </row>
    <row r="246" spans="1:16" x14ac:dyDescent="0.3">
      <c r="A246" s="531"/>
      <c r="B246" s="51" t="s">
        <v>9</v>
      </c>
      <c r="C246" s="22">
        <v>49020</v>
      </c>
      <c r="D246" s="22">
        <v>583824</v>
      </c>
      <c r="E246" s="22">
        <v>632844</v>
      </c>
      <c r="F246" s="22">
        <v>663</v>
      </c>
      <c r="G246" s="22">
        <v>1925</v>
      </c>
      <c r="H246" s="22">
        <v>2588</v>
      </c>
      <c r="I246" s="23"/>
      <c r="J246" s="33">
        <f>C246-C229</f>
        <v>-97603</v>
      </c>
      <c r="K246" s="33">
        <f>D246-D229</f>
        <v>75186</v>
      </c>
      <c r="L246" s="33">
        <f>E246-E229</f>
        <v>-22417</v>
      </c>
      <c r="M246" s="34">
        <f>SUM(E246/E229)-1</f>
        <v>-3.4210795392980775E-2</v>
      </c>
      <c r="O246" s="35"/>
      <c r="P246" s="35"/>
    </row>
    <row r="248" spans="1:16" x14ac:dyDescent="0.3">
      <c r="C248" s="35"/>
      <c r="D248" s="35"/>
      <c r="E248" s="35"/>
      <c r="F248" s="35"/>
      <c r="G248" s="35"/>
      <c r="H248" s="35"/>
    </row>
    <row r="249" spans="1:16" x14ac:dyDescent="0.3">
      <c r="C249" s="35"/>
      <c r="D249" s="35"/>
      <c r="E249" s="35"/>
      <c r="F249" s="35"/>
      <c r="G249" s="35"/>
      <c r="H249" s="35"/>
    </row>
    <row r="250" spans="1:16" x14ac:dyDescent="0.3">
      <c r="B250" s="528" t="s">
        <v>4</v>
      </c>
      <c r="C250" s="45" t="s">
        <v>5</v>
      </c>
      <c r="D250" s="46"/>
      <c r="E250" s="47"/>
      <c r="F250" s="532" t="s">
        <v>6</v>
      </c>
      <c r="G250" s="532"/>
      <c r="H250" s="532"/>
      <c r="I250" s="8"/>
      <c r="J250" s="8"/>
      <c r="L250" s="524" t="s">
        <v>10</v>
      </c>
      <c r="M250" s="525"/>
    </row>
    <row r="251" spans="1:16" x14ac:dyDescent="0.3">
      <c r="B251" s="529"/>
      <c r="C251" s="6" t="s">
        <v>7</v>
      </c>
      <c r="D251" s="6" t="s">
        <v>8</v>
      </c>
      <c r="E251" s="6" t="s">
        <v>9</v>
      </c>
      <c r="F251" s="7" t="s">
        <v>7</v>
      </c>
      <c r="G251" s="7" t="s">
        <v>8</v>
      </c>
      <c r="H251" s="7" t="s">
        <v>9</v>
      </c>
      <c r="I251" s="8"/>
      <c r="J251" s="6" t="s">
        <v>19</v>
      </c>
      <c r="K251" s="6" t="s">
        <v>20</v>
      </c>
      <c r="L251" s="526"/>
      <c r="M251" s="527"/>
    </row>
    <row r="252" spans="1:16" x14ac:dyDescent="0.3">
      <c r="A252" s="530">
        <v>39752</v>
      </c>
      <c r="B252" s="9" t="s">
        <v>11</v>
      </c>
      <c r="C252" s="48"/>
      <c r="D252" s="48"/>
      <c r="E252" s="48"/>
      <c r="F252" s="49"/>
      <c r="G252" s="49"/>
      <c r="H252" s="49"/>
      <c r="I252" s="12"/>
      <c r="J252" s="24"/>
      <c r="K252" s="24"/>
      <c r="L252" s="24"/>
      <c r="M252" s="24"/>
    </row>
    <row r="253" spans="1:16" x14ac:dyDescent="0.3">
      <c r="A253" s="531"/>
      <c r="B253" s="50" t="s">
        <v>12</v>
      </c>
      <c r="C253" s="25">
        <v>16728</v>
      </c>
      <c r="D253" s="25">
        <v>308799</v>
      </c>
      <c r="E253" s="25">
        <v>325527</v>
      </c>
      <c r="F253" s="25">
        <v>292</v>
      </c>
      <c r="G253" s="15">
        <v>701</v>
      </c>
      <c r="H253" s="25">
        <v>993</v>
      </c>
      <c r="I253" s="16"/>
      <c r="J253" s="27">
        <f t="shared" ref="J253:L256" si="30">C253-C236</f>
        <v>-11263</v>
      </c>
      <c r="K253" s="27">
        <f t="shared" si="30"/>
        <v>-7526</v>
      </c>
      <c r="L253" s="27">
        <f t="shared" si="30"/>
        <v>-18789</v>
      </c>
      <c r="M253" s="28">
        <f>SUM(E253/E236)-1</f>
        <v>-5.4569058655421165E-2</v>
      </c>
      <c r="O253" s="35"/>
      <c r="P253" s="35"/>
    </row>
    <row r="254" spans="1:16" x14ac:dyDescent="0.3">
      <c r="A254" s="531"/>
      <c r="B254" s="50" t="s">
        <v>13</v>
      </c>
      <c r="C254" s="25">
        <v>1453</v>
      </c>
      <c r="D254" s="25">
        <v>45278</v>
      </c>
      <c r="E254" s="25">
        <v>46731</v>
      </c>
      <c r="F254" s="15">
        <v>38</v>
      </c>
      <c r="G254" s="15">
        <v>115</v>
      </c>
      <c r="H254" s="25">
        <v>153</v>
      </c>
      <c r="I254" s="16"/>
      <c r="J254" s="27">
        <f t="shared" si="30"/>
        <v>-5874</v>
      </c>
      <c r="K254" s="27">
        <f t="shared" si="30"/>
        <v>-2750</v>
      </c>
      <c r="L254" s="27">
        <f t="shared" si="30"/>
        <v>-8624</v>
      </c>
      <c r="M254" s="28">
        <f>SUM(E254/E237)-1</f>
        <v>-0.15579441784843284</v>
      </c>
      <c r="O254" s="35"/>
      <c r="P254" s="35"/>
    </row>
    <row r="255" spans="1:16" x14ac:dyDescent="0.3">
      <c r="A255" s="531"/>
      <c r="B255" s="50" t="s">
        <v>14</v>
      </c>
      <c r="C255" s="25">
        <v>47</v>
      </c>
      <c r="D255" s="25">
        <v>78957</v>
      </c>
      <c r="E255" s="25">
        <v>79004</v>
      </c>
      <c r="F255" s="15">
        <v>3</v>
      </c>
      <c r="G255" s="15">
        <v>48</v>
      </c>
      <c r="H255" s="15">
        <v>51</v>
      </c>
      <c r="I255" s="16"/>
      <c r="J255" s="27">
        <f t="shared" si="30"/>
        <v>-2269</v>
      </c>
      <c r="K255" s="27">
        <f t="shared" si="30"/>
        <v>-6906</v>
      </c>
      <c r="L255" s="27">
        <f t="shared" si="30"/>
        <v>-9175</v>
      </c>
      <c r="M255" s="28">
        <f>SUM(E255/E238)-1</f>
        <v>-0.10404971705281307</v>
      </c>
      <c r="O255" s="35"/>
      <c r="P255" s="35"/>
    </row>
    <row r="256" spans="1:16" x14ac:dyDescent="0.3">
      <c r="A256" s="531"/>
      <c r="B256" s="50" t="s">
        <v>15</v>
      </c>
      <c r="C256" s="25">
        <v>4642</v>
      </c>
      <c r="D256" s="25">
        <v>79511</v>
      </c>
      <c r="E256" s="25">
        <v>84153</v>
      </c>
      <c r="F256" s="15">
        <v>198</v>
      </c>
      <c r="G256" s="15">
        <v>673</v>
      </c>
      <c r="H256" s="25">
        <v>871</v>
      </c>
      <c r="I256" s="16"/>
      <c r="J256" s="27">
        <f t="shared" si="30"/>
        <v>122</v>
      </c>
      <c r="K256" s="27">
        <f t="shared" si="30"/>
        <v>-2484</v>
      </c>
      <c r="L256" s="27">
        <f t="shared" si="30"/>
        <v>-2362</v>
      </c>
      <c r="M256" s="28">
        <f>SUM(E256/E239)-1</f>
        <v>-2.7301623995838908E-2</v>
      </c>
      <c r="O256" s="35"/>
      <c r="P256" s="35"/>
    </row>
    <row r="257" spans="1:16" x14ac:dyDescent="0.3">
      <c r="A257" s="531"/>
      <c r="B257" s="50" t="s">
        <v>16</v>
      </c>
      <c r="C257" s="15"/>
      <c r="D257" s="15"/>
      <c r="E257" s="15"/>
      <c r="F257" s="15"/>
      <c r="G257" s="15"/>
      <c r="H257" s="15"/>
      <c r="I257" s="16"/>
      <c r="J257" s="27"/>
      <c r="K257" s="27"/>
      <c r="L257" s="27"/>
      <c r="M257" s="28"/>
      <c r="O257" s="35"/>
      <c r="P257" s="35"/>
    </row>
    <row r="258" spans="1:16" x14ac:dyDescent="0.3">
      <c r="A258" s="531"/>
      <c r="B258" s="51" t="s">
        <v>17</v>
      </c>
      <c r="C258" s="22">
        <v>22870</v>
      </c>
      <c r="D258" s="22">
        <v>512545</v>
      </c>
      <c r="E258" s="22">
        <v>535415</v>
      </c>
      <c r="F258" s="22">
        <v>531</v>
      </c>
      <c r="G258" s="22">
        <v>1537</v>
      </c>
      <c r="H258" s="22">
        <v>2068</v>
      </c>
      <c r="I258" s="23"/>
      <c r="J258" s="29">
        <f>C258-C241</f>
        <v>-19284</v>
      </c>
      <c r="K258" s="29">
        <f>D258-D241</f>
        <v>-19666</v>
      </c>
      <c r="L258" s="29">
        <f>E258-E241</f>
        <v>-38950</v>
      </c>
      <c r="M258" s="30">
        <f>SUM(E258/E241)-1</f>
        <v>-6.781402070112208E-2</v>
      </c>
      <c r="O258" s="35"/>
      <c r="P258" s="35"/>
    </row>
    <row r="259" spans="1:16" x14ac:dyDescent="0.3">
      <c r="A259" s="531"/>
      <c r="B259" s="50"/>
      <c r="C259" s="15"/>
      <c r="D259" s="15"/>
      <c r="E259" s="15"/>
      <c r="F259" s="15"/>
      <c r="G259" s="15"/>
      <c r="H259" s="15"/>
      <c r="I259" s="16"/>
      <c r="J259" s="27"/>
      <c r="K259" s="27"/>
      <c r="L259" s="27"/>
      <c r="M259" s="28"/>
      <c r="O259" s="35"/>
      <c r="P259" s="35"/>
    </row>
    <row r="260" spans="1:16" x14ac:dyDescent="0.3">
      <c r="A260" s="531"/>
      <c r="B260" s="50" t="s">
        <v>2</v>
      </c>
      <c r="C260" s="25">
        <v>43200</v>
      </c>
      <c r="D260" s="25">
        <v>13620</v>
      </c>
      <c r="E260" s="25">
        <v>56820</v>
      </c>
      <c r="F260" s="15">
        <v>12</v>
      </c>
      <c r="G260" s="15">
        <v>17</v>
      </c>
      <c r="H260" s="15">
        <v>29</v>
      </c>
      <c r="I260" s="16"/>
      <c r="J260" s="27">
        <f t="shared" ref="J260:L261" si="31">C260-C243</f>
        <v>36334</v>
      </c>
      <c r="K260" s="27">
        <f t="shared" si="31"/>
        <v>-10449</v>
      </c>
      <c r="L260" s="27">
        <f t="shared" si="31"/>
        <v>25885</v>
      </c>
      <c r="M260" s="28">
        <f>SUM(E260/E243)-1</f>
        <v>0.8367544852109261</v>
      </c>
      <c r="O260" s="35"/>
      <c r="P260" s="35"/>
    </row>
    <row r="261" spans="1:16" x14ac:dyDescent="0.3">
      <c r="A261" s="531"/>
      <c r="B261" s="50" t="s">
        <v>18</v>
      </c>
      <c r="C261" s="25">
        <v>2142</v>
      </c>
      <c r="D261" s="25">
        <v>26045</v>
      </c>
      <c r="E261" s="25">
        <v>28187</v>
      </c>
      <c r="F261" s="15">
        <v>31</v>
      </c>
      <c r="G261" s="15">
        <v>40</v>
      </c>
      <c r="H261" s="15">
        <v>71</v>
      </c>
      <c r="I261" s="16"/>
      <c r="J261" s="27">
        <f t="shared" si="31"/>
        <v>2142</v>
      </c>
      <c r="K261" s="27">
        <f t="shared" si="31"/>
        <v>-1499</v>
      </c>
      <c r="L261" s="27">
        <f t="shared" si="31"/>
        <v>643</v>
      </c>
      <c r="M261" s="28">
        <f>SUM(E261/E244)-1</f>
        <v>2.3344467034562832E-2</v>
      </c>
      <c r="O261" s="35"/>
      <c r="P261" s="35"/>
    </row>
    <row r="262" spans="1:16" x14ac:dyDescent="0.3">
      <c r="A262" s="531"/>
      <c r="B262" s="50"/>
      <c r="C262" s="15"/>
      <c r="D262" s="15"/>
      <c r="E262" s="15"/>
      <c r="F262" s="15"/>
      <c r="G262" s="15"/>
      <c r="H262" s="15"/>
      <c r="I262" s="16"/>
      <c r="J262" s="27"/>
      <c r="K262" s="27"/>
      <c r="L262" s="27"/>
      <c r="M262" s="28"/>
      <c r="O262" s="35"/>
      <c r="P262" s="35"/>
    </row>
    <row r="263" spans="1:16" x14ac:dyDescent="0.3">
      <c r="A263" s="531"/>
      <c r="B263" s="51" t="s">
        <v>9</v>
      </c>
      <c r="C263" s="22">
        <v>68212</v>
      </c>
      <c r="D263" s="22">
        <v>552210</v>
      </c>
      <c r="E263" s="22">
        <v>620422</v>
      </c>
      <c r="F263" s="22">
        <v>574</v>
      </c>
      <c r="G263" s="22">
        <v>1594</v>
      </c>
      <c r="H263" s="22">
        <v>2168</v>
      </c>
      <c r="I263" s="23"/>
      <c r="J263" s="33">
        <f>C263-C246</f>
        <v>19192</v>
      </c>
      <c r="K263" s="33">
        <f>D263-D246</f>
        <v>-31614</v>
      </c>
      <c r="L263" s="33">
        <f>E263-E246</f>
        <v>-12422</v>
      </c>
      <c r="M263" s="34">
        <f>SUM(E263/E246)-1</f>
        <v>-1.9628850079956517E-2</v>
      </c>
      <c r="O263" s="35"/>
      <c r="P263" s="35"/>
    </row>
    <row r="265" spans="1:16" x14ac:dyDescent="0.3">
      <c r="C265" s="35"/>
      <c r="D265" s="35"/>
      <c r="E265" s="35"/>
      <c r="F265" s="35"/>
      <c r="G265" s="35"/>
      <c r="H265" s="35"/>
    </row>
    <row r="266" spans="1:16" x14ac:dyDescent="0.3">
      <c r="C266" s="35"/>
      <c r="D266" s="35"/>
      <c r="E266" s="35"/>
      <c r="F266" s="35"/>
      <c r="G266" s="35"/>
      <c r="H266" s="35"/>
    </row>
    <row r="267" spans="1:16" x14ac:dyDescent="0.3">
      <c r="B267" s="528" t="s">
        <v>4</v>
      </c>
      <c r="C267" s="45" t="s">
        <v>5</v>
      </c>
      <c r="D267" s="46"/>
      <c r="E267" s="47"/>
      <c r="F267" s="532" t="s">
        <v>6</v>
      </c>
      <c r="G267" s="532"/>
      <c r="H267" s="532"/>
      <c r="I267" s="8"/>
      <c r="J267" s="8"/>
      <c r="L267" s="524" t="s">
        <v>10</v>
      </c>
      <c r="M267" s="525"/>
    </row>
    <row r="268" spans="1:16" x14ac:dyDescent="0.3">
      <c r="B268" s="529"/>
      <c r="C268" s="6" t="s">
        <v>7</v>
      </c>
      <c r="D268" s="6" t="s">
        <v>8</v>
      </c>
      <c r="E268" s="6" t="s">
        <v>9</v>
      </c>
      <c r="F268" s="7" t="s">
        <v>7</v>
      </c>
      <c r="G268" s="7" t="s">
        <v>8</v>
      </c>
      <c r="H268" s="7" t="s">
        <v>9</v>
      </c>
      <c r="I268" s="8"/>
      <c r="J268" s="6" t="s">
        <v>19</v>
      </c>
      <c r="K268" s="6" t="s">
        <v>20</v>
      </c>
      <c r="L268" s="526"/>
      <c r="M268" s="527"/>
    </row>
    <row r="269" spans="1:16" x14ac:dyDescent="0.3">
      <c r="A269" s="530">
        <v>39782</v>
      </c>
      <c r="B269" s="9" t="s">
        <v>11</v>
      </c>
      <c r="C269" s="48"/>
      <c r="D269" s="48"/>
      <c r="E269" s="48"/>
      <c r="F269" s="49"/>
      <c r="G269" s="49"/>
      <c r="H269" s="49"/>
      <c r="I269" s="12"/>
      <c r="J269" s="24"/>
      <c r="K269" s="24"/>
      <c r="L269" s="24"/>
      <c r="M269" s="24"/>
    </row>
    <row r="270" spans="1:16" x14ac:dyDescent="0.3">
      <c r="A270" s="531"/>
      <c r="B270" s="50" t="s">
        <v>12</v>
      </c>
      <c r="C270" s="25">
        <v>56745</v>
      </c>
      <c r="D270" s="25">
        <v>299755</v>
      </c>
      <c r="E270" s="25">
        <v>356500</v>
      </c>
      <c r="F270" s="25">
        <v>911</v>
      </c>
      <c r="G270" s="15">
        <v>697</v>
      </c>
      <c r="H270" s="25">
        <v>1608</v>
      </c>
      <c r="I270" s="16"/>
      <c r="J270" s="27">
        <f t="shared" ref="J270:L273" si="32">C270-C253</f>
        <v>40017</v>
      </c>
      <c r="K270" s="27">
        <f t="shared" si="32"/>
        <v>-9044</v>
      </c>
      <c r="L270" s="27">
        <f t="shared" si="32"/>
        <v>30973</v>
      </c>
      <c r="M270" s="28">
        <f>SUM(E270/E253)-1</f>
        <v>9.5147253530429188E-2</v>
      </c>
      <c r="O270" s="35"/>
      <c r="P270" s="35"/>
    </row>
    <row r="271" spans="1:16" x14ac:dyDescent="0.3">
      <c r="A271" s="531"/>
      <c r="B271" s="50" t="s">
        <v>13</v>
      </c>
      <c r="C271" s="25">
        <v>13119</v>
      </c>
      <c r="D271" s="25">
        <v>41541</v>
      </c>
      <c r="E271" s="25">
        <v>54660</v>
      </c>
      <c r="F271" s="15">
        <v>211</v>
      </c>
      <c r="G271" s="15">
        <v>114</v>
      </c>
      <c r="H271" s="25">
        <v>325</v>
      </c>
      <c r="I271" s="16"/>
      <c r="J271" s="27">
        <f t="shared" si="32"/>
        <v>11666</v>
      </c>
      <c r="K271" s="27">
        <f t="shared" si="32"/>
        <v>-3737</v>
      </c>
      <c r="L271" s="27">
        <f t="shared" si="32"/>
        <v>7929</v>
      </c>
      <c r="M271" s="28">
        <f>SUM(E271/E254)-1</f>
        <v>0.16967323618154961</v>
      </c>
      <c r="O271" s="35"/>
      <c r="P271" s="35"/>
    </row>
    <row r="272" spans="1:16" x14ac:dyDescent="0.3">
      <c r="A272" s="531"/>
      <c r="B272" s="50" t="s">
        <v>14</v>
      </c>
      <c r="C272" s="25">
        <v>22132</v>
      </c>
      <c r="D272" s="25">
        <v>73660</v>
      </c>
      <c r="E272" s="25">
        <v>95792</v>
      </c>
      <c r="F272" s="15">
        <v>89</v>
      </c>
      <c r="G272" s="15">
        <v>41</v>
      </c>
      <c r="H272" s="15">
        <v>130</v>
      </c>
      <c r="I272" s="16"/>
      <c r="J272" s="27">
        <f t="shared" si="32"/>
        <v>22085</v>
      </c>
      <c r="K272" s="27">
        <f t="shared" si="32"/>
        <v>-5297</v>
      </c>
      <c r="L272" s="27">
        <f t="shared" si="32"/>
        <v>16788</v>
      </c>
      <c r="M272" s="28">
        <f>SUM(E272/E255)-1</f>
        <v>0.21249556984456475</v>
      </c>
      <c r="O272" s="35"/>
      <c r="P272" s="35"/>
    </row>
    <row r="273" spans="1:16" x14ac:dyDescent="0.3">
      <c r="A273" s="531"/>
      <c r="B273" s="50" t="s">
        <v>15</v>
      </c>
      <c r="C273" s="25">
        <v>15632</v>
      </c>
      <c r="D273" s="25">
        <v>78178</v>
      </c>
      <c r="E273" s="25">
        <v>93810</v>
      </c>
      <c r="F273" s="15">
        <v>198</v>
      </c>
      <c r="G273" s="15">
        <v>673</v>
      </c>
      <c r="H273" s="25">
        <v>871</v>
      </c>
      <c r="I273" s="16"/>
      <c r="J273" s="27">
        <f t="shared" si="32"/>
        <v>10990</v>
      </c>
      <c r="K273" s="27">
        <f t="shared" si="32"/>
        <v>-1333</v>
      </c>
      <c r="L273" s="27">
        <f t="shared" si="32"/>
        <v>9657</v>
      </c>
      <c r="M273" s="28">
        <f>SUM(E273/E256)-1</f>
        <v>0.11475526719190055</v>
      </c>
      <c r="O273" s="35"/>
      <c r="P273" s="35"/>
    </row>
    <row r="274" spans="1:16" x14ac:dyDescent="0.3">
      <c r="A274" s="531"/>
      <c r="B274" s="51" t="s">
        <v>17</v>
      </c>
      <c r="C274" s="22">
        <v>107628</v>
      </c>
      <c r="D274" s="22">
        <v>493134</v>
      </c>
      <c r="E274" s="22">
        <v>600762</v>
      </c>
      <c r="F274" s="22">
        <v>1409</v>
      </c>
      <c r="G274" s="22">
        <v>1525</v>
      </c>
      <c r="H274" s="22">
        <v>2934</v>
      </c>
      <c r="I274" s="23"/>
      <c r="J274" s="29">
        <f>C274-C258</f>
        <v>84758</v>
      </c>
      <c r="K274" s="29">
        <f>D274-D258</f>
        <v>-19411</v>
      </c>
      <c r="L274" s="29">
        <f>E274-E258</f>
        <v>65347</v>
      </c>
      <c r="M274" s="30">
        <f>SUM(E274/E258)-1</f>
        <v>0.12204925151517987</v>
      </c>
      <c r="O274" s="35"/>
      <c r="P274" s="35"/>
    </row>
    <row r="275" spans="1:16" x14ac:dyDescent="0.3">
      <c r="A275" s="531"/>
      <c r="B275" s="50" t="s">
        <v>2</v>
      </c>
      <c r="C275" s="25">
        <v>6649</v>
      </c>
      <c r="D275" s="25">
        <v>33886</v>
      </c>
      <c r="E275" s="25">
        <v>40535</v>
      </c>
      <c r="F275" s="15">
        <v>14</v>
      </c>
      <c r="G275" s="15">
        <v>20</v>
      </c>
      <c r="H275" s="15">
        <v>34</v>
      </c>
      <c r="I275" s="16"/>
      <c r="J275" s="27">
        <f t="shared" ref="J275:L276" si="33">C275-C260</f>
        <v>-36551</v>
      </c>
      <c r="K275" s="27">
        <f t="shared" si="33"/>
        <v>20266</v>
      </c>
      <c r="L275" s="27">
        <f t="shared" si="33"/>
        <v>-16285</v>
      </c>
      <c r="M275" s="28">
        <f>SUM(E275/E260)-1</f>
        <v>-0.28660682858148534</v>
      </c>
      <c r="O275" s="35"/>
      <c r="P275" s="35"/>
    </row>
    <row r="276" spans="1:16" x14ac:dyDescent="0.3">
      <c r="A276" s="531"/>
      <c r="B276" s="50" t="s">
        <v>18</v>
      </c>
      <c r="C276" s="25">
        <v>0</v>
      </c>
      <c r="D276" s="25">
        <v>27919</v>
      </c>
      <c r="E276" s="25">
        <v>27919</v>
      </c>
      <c r="F276" s="15">
        <v>0</v>
      </c>
      <c r="G276" s="15">
        <v>46</v>
      </c>
      <c r="H276" s="15">
        <v>46</v>
      </c>
      <c r="I276" s="16"/>
      <c r="J276" s="27">
        <f t="shared" si="33"/>
        <v>-2142</v>
      </c>
      <c r="K276" s="27">
        <f t="shared" si="33"/>
        <v>1874</v>
      </c>
      <c r="L276" s="27">
        <f t="shared" si="33"/>
        <v>-268</v>
      </c>
      <c r="M276" s="28">
        <f>SUM(E276/E261)-1</f>
        <v>-9.5079291872139926E-3</v>
      </c>
      <c r="O276" s="35"/>
      <c r="P276" s="35"/>
    </row>
    <row r="277" spans="1:16" x14ac:dyDescent="0.3">
      <c r="A277" s="531"/>
      <c r="B277" s="51" t="s">
        <v>9</v>
      </c>
      <c r="C277" s="22">
        <v>114277</v>
      </c>
      <c r="D277" s="22">
        <v>554939</v>
      </c>
      <c r="E277" s="22">
        <v>669216</v>
      </c>
      <c r="F277" s="22">
        <v>1423</v>
      </c>
      <c r="G277" s="22">
        <v>1591</v>
      </c>
      <c r="H277" s="22">
        <v>3014</v>
      </c>
      <c r="I277" s="23"/>
      <c r="J277" s="33">
        <f>C277-C263</f>
        <v>46065</v>
      </c>
      <c r="K277" s="33">
        <f>D277-D263</f>
        <v>2729</v>
      </c>
      <c r="L277" s="33">
        <f>E277-E263</f>
        <v>48794</v>
      </c>
      <c r="M277" s="34">
        <f>SUM(E277/E263)-1</f>
        <v>7.8646469660972773E-2</v>
      </c>
      <c r="O277" s="35"/>
      <c r="P277" s="35"/>
    </row>
    <row r="279" spans="1:16" x14ac:dyDescent="0.3">
      <c r="C279" s="35"/>
      <c r="D279" s="35"/>
      <c r="E279" s="35"/>
      <c r="F279" s="35"/>
      <c r="G279" s="35"/>
      <c r="H279" s="35"/>
    </row>
    <row r="280" spans="1:16" x14ac:dyDescent="0.3">
      <c r="C280" s="35"/>
      <c r="D280" s="35"/>
      <c r="E280" s="35"/>
      <c r="F280" s="35"/>
      <c r="G280" s="35"/>
      <c r="H280" s="35"/>
    </row>
    <row r="281" spans="1:16" x14ac:dyDescent="0.3">
      <c r="B281" s="528" t="s">
        <v>4</v>
      </c>
      <c r="C281" s="45" t="s">
        <v>5</v>
      </c>
      <c r="D281" s="46"/>
      <c r="E281" s="47"/>
      <c r="F281" s="532" t="s">
        <v>6</v>
      </c>
      <c r="G281" s="532"/>
      <c r="H281" s="532"/>
      <c r="I281" s="8"/>
      <c r="J281" s="8"/>
      <c r="L281" s="524" t="s">
        <v>10</v>
      </c>
      <c r="M281" s="525"/>
    </row>
    <row r="282" spans="1:16" x14ac:dyDescent="0.3">
      <c r="B282" s="529"/>
      <c r="C282" s="6" t="s">
        <v>7</v>
      </c>
      <c r="D282" s="6" t="s">
        <v>8</v>
      </c>
      <c r="E282" s="6" t="s">
        <v>9</v>
      </c>
      <c r="F282" s="7" t="s">
        <v>7</v>
      </c>
      <c r="G282" s="7" t="s">
        <v>8</v>
      </c>
      <c r="H282" s="7" t="s">
        <v>9</v>
      </c>
      <c r="I282" s="8"/>
      <c r="J282" s="6" t="s">
        <v>19</v>
      </c>
      <c r="K282" s="6" t="s">
        <v>20</v>
      </c>
      <c r="L282" s="526"/>
      <c r="M282" s="527"/>
    </row>
    <row r="283" spans="1:16" x14ac:dyDescent="0.3">
      <c r="A283" s="530">
        <v>39813</v>
      </c>
      <c r="B283" s="9" t="s">
        <v>11</v>
      </c>
      <c r="C283" s="48"/>
      <c r="D283" s="48"/>
      <c r="E283" s="48"/>
      <c r="F283" s="49"/>
      <c r="G283" s="49"/>
      <c r="H283" s="49"/>
      <c r="I283" s="12"/>
      <c r="J283" s="24"/>
      <c r="K283" s="24"/>
      <c r="L283" s="24"/>
      <c r="M283" s="24"/>
    </row>
    <row r="284" spans="1:16" x14ac:dyDescent="0.3">
      <c r="A284" s="531"/>
      <c r="B284" s="50" t="s">
        <v>12</v>
      </c>
      <c r="C284" s="25">
        <v>48011</v>
      </c>
      <c r="D284" s="25">
        <v>322076</v>
      </c>
      <c r="E284" s="25">
        <v>370087</v>
      </c>
      <c r="F284" s="25">
        <v>665</v>
      </c>
      <c r="G284" s="15">
        <v>942</v>
      </c>
      <c r="H284" s="25">
        <v>1607</v>
      </c>
      <c r="I284" s="16"/>
      <c r="J284" s="27">
        <f t="shared" ref="J284:L291" si="34">C284-C270</f>
        <v>-8734</v>
      </c>
      <c r="K284" s="27">
        <f t="shared" si="34"/>
        <v>22321</v>
      </c>
      <c r="L284" s="27">
        <f t="shared" si="34"/>
        <v>13587</v>
      </c>
      <c r="M284" s="28">
        <f t="shared" ref="M284:M291" si="35">L284/E270</f>
        <v>3.8112201963534362E-2</v>
      </c>
      <c r="O284" s="35"/>
      <c r="P284" s="35"/>
    </row>
    <row r="285" spans="1:16" x14ac:dyDescent="0.3">
      <c r="A285" s="531"/>
      <c r="B285" s="50" t="s">
        <v>13</v>
      </c>
      <c r="C285" s="25">
        <v>11454</v>
      </c>
      <c r="D285" s="25">
        <v>47023</v>
      </c>
      <c r="E285" s="25">
        <v>58477</v>
      </c>
      <c r="F285" s="15">
        <v>164</v>
      </c>
      <c r="G285" s="15">
        <v>170</v>
      </c>
      <c r="H285" s="25">
        <v>334</v>
      </c>
      <c r="I285" s="16"/>
      <c r="J285" s="27">
        <f t="shared" si="34"/>
        <v>-1665</v>
      </c>
      <c r="K285" s="27">
        <f t="shared" si="34"/>
        <v>5482</v>
      </c>
      <c r="L285" s="27">
        <f t="shared" si="34"/>
        <v>3817</v>
      </c>
      <c r="M285" s="28">
        <f t="shared" si="35"/>
        <v>6.9831686791072087E-2</v>
      </c>
      <c r="O285" s="35"/>
      <c r="P285" s="35"/>
    </row>
    <row r="286" spans="1:16" x14ac:dyDescent="0.3">
      <c r="A286" s="531"/>
      <c r="B286" s="50" t="s">
        <v>14</v>
      </c>
      <c r="C286" s="25">
        <v>3056</v>
      </c>
      <c r="D286" s="25">
        <v>84212</v>
      </c>
      <c r="E286" s="25">
        <v>87268</v>
      </c>
      <c r="F286" s="15">
        <v>44</v>
      </c>
      <c r="G286" s="15">
        <v>72</v>
      </c>
      <c r="H286" s="15">
        <v>116</v>
      </c>
      <c r="I286" s="16"/>
      <c r="J286" s="27">
        <f t="shared" si="34"/>
        <v>-19076</v>
      </c>
      <c r="K286" s="27">
        <f t="shared" si="34"/>
        <v>10552</v>
      </c>
      <c r="L286" s="27">
        <f t="shared" si="34"/>
        <v>-8524</v>
      </c>
      <c r="M286" s="28">
        <f t="shared" si="35"/>
        <v>-8.8984466343744781E-2</v>
      </c>
      <c r="O286" s="35"/>
      <c r="P286" s="35"/>
    </row>
    <row r="287" spans="1:16" x14ac:dyDescent="0.3">
      <c r="A287" s="531"/>
      <c r="B287" s="50" t="s">
        <v>15</v>
      </c>
      <c r="C287" s="25">
        <v>11123</v>
      </c>
      <c r="D287" s="25">
        <v>82005</v>
      </c>
      <c r="E287" s="25">
        <v>93128</v>
      </c>
      <c r="F287" s="15">
        <v>292</v>
      </c>
      <c r="G287" s="15">
        <v>681</v>
      </c>
      <c r="H287" s="25">
        <v>973</v>
      </c>
      <c r="I287" s="16"/>
      <c r="J287" s="27">
        <f t="shared" si="34"/>
        <v>-4509</v>
      </c>
      <c r="K287" s="27">
        <f t="shared" si="34"/>
        <v>3827</v>
      </c>
      <c r="L287" s="27">
        <f t="shared" si="34"/>
        <v>-682</v>
      </c>
      <c r="M287" s="28">
        <f t="shared" si="35"/>
        <v>-7.2700138577976763E-3</v>
      </c>
      <c r="O287" s="35"/>
      <c r="P287" s="35"/>
    </row>
    <row r="288" spans="1:16" x14ac:dyDescent="0.3">
      <c r="A288" s="531"/>
      <c r="B288" s="51" t="s">
        <v>17</v>
      </c>
      <c r="C288" s="22">
        <v>73644</v>
      </c>
      <c r="D288" s="22">
        <v>535316</v>
      </c>
      <c r="E288" s="22">
        <v>608960</v>
      </c>
      <c r="F288" s="22">
        <v>1165</v>
      </c>
      <c r="G288" s="22">
        <v>1865</v>
      </c>
      <c r="H288" s="22">
        <v>3030</v>
      </c>
      <c r="I288" s="23"/>
      <c r="J288" s="29">
        <f t="shared" si="34"/>
        <v>-33984</v>
      </c>
      <c r="K288" s="29">
        <f t="shared" si="34"/>
        <v>42182</v>
      </c>
      <c r="L288" s="29">
        <f t="shared" si="34"/>
        <v>8198</v>
      </c>
      <c r="M288" s="30">
        <f t="shared" si="35"/>
        <v>1.3646002909638093E-2</v>
      </c>
      <c r="O288" s="35"/>
      <c r="P288" s="35"/>
    </row>
    <row r="289" spans="1:16" x14ac:dyDescent="0.3">
      <c r="A289" s="531"/>
      <c r="B289" s="50" t="s">
        <v>2</v>
      </c>
      <c r="C289" s="25">
        <v>3735</v>
      </c>
      <c r="D289" s="25">
        <v>39512</v>
      </c>
      <c r="E289" s="25">
        <v>43247</v>
      </c>
      <c r="F289" s="15">
        <v>13</v>
      </c>
      <c r="G289" s="15">
        <v>25</v>
      </c>
      <c r="H289" s="15">
        <v>38</v>
      </c>
      <c r="I289" s="16"/>
      <c r="J289" s="27">
        <f t="shared" si="34"/>
        <v>-2914</v>
      </c>
      <c r="K289" s="27">
        <f t="shared" si="34"/>
        <v>5626</v>
      </c>
      <c r="L289" s="27">
        <f t="shared" si="34"/>
        <v>2712</v>
      </c>
      <c r="M289" s="28">
        <f t="shared" si="35"/>
        <v>6.6905143702972736E-2</v>
      </c>
      <c r="O289" s="35"/>
      <c r="P289" s="35"/>
    </row>
    <row r="290" spans="1:16" x14ac:dyDescent="0.3">
      <c r="A290" s="531"/>
      <c r="B290" s="50" t="s">
        <v>18</v>
      </c>
      <c r="C290" s="25">
        <v>0</v>
      </c>
      <c r="D290" s="25">
        <v>25762</v>
      </c>
      <c r="E290" s="25">
        <v>25762</v>
      </c>
      <c r="F290" s="15">
        <v>0</v>
      </c>
      <c r="G290" s="15">
        <v>43</v>
      </c>
      <c r="H290" s="15">
        <v>43</v>
      </c>
      <c r="I290" s="16"/>
      <c r="J290" s="27">
        <f t="shared" si="34"/>
        <v>0</v>
      </c>
      <c r="K290" s="27">
        <f t="shared" si="34"/>
        <v>-2157</v>
      </c>
      <c r="L290" s="27">
        <f t="shared" si="34"/>
        <v>-2157</v>
      </c>
      <c r="M290" s="28">
        <f t="shared" si="35"/>
        <v>-7.725921415523479E-2</v>
      </c>
      <c r="O290" s="35"/>
      <c r="P290" s="35"/>
    </row>
    <row r="291" spans="1:16" x14ac:dyDescent="0.3">
      <c r="A291" s="531"/>
      <c r="B291" s="51" t="s">
        <v>9</v>
      </c>
      <c r="C291" s="22">
        <v>77379</v>
      </c>
      <c r="D291" s="22">
        <v>600590</v>
      </c>
      <c r="E291" s="22">
        <v>677969</v>
      </c>
      <c r="F291" s="22">
        <v>1178</v>
      </c>
      <c r="G291" s="22">
        <v>1933</v>
      </c>
      <c r="H291" s="22">
        <v>3111</v>
      </c>
      <c r="I291" s="23"/>
      <c r="J291" s="33">
        <f t="shared" si="34"/>
        <v>-36898</v>
      </c>
      <c r="K291" s="33">
        <f t="shared" si="34"/>
        <v>45651</v>
      </c>
      <c r="L291" s="33">
        <f t="shared" si="34"/>
        <v>8753</v>
      </c>
      <c r="M291" s="34">
        <f t="shared" si="35"/>
        <v>1.3079484052981399E-2</v>
      </c>
      <c r="O291" s="35"/>
      <c r="P291" s="35"/>
    </row>
    <row r="293" spans="1:16" x14ac:dyDescent="0.3">
      <c r="C293" s="35"/>
      <c r="D293" s="35"/>
      <c r="E293" s="35"/>
      <c r="F293" s="35"/>
      <c r="G293" s="35"/>
      <c r="H293" s="35"/>
    </row>
    <row r="294" spans="1:16" x14ac:dyDescent="0.3">
      <c r="C294" s="35"/>
      <c r="D294" s="35"/>
      <c r="E294" s="35"/>
      <c r="F294" s="35"/>
      <c r="G294" s="35"/>
      <c r="H294" s="35"/>
    </row>
    <row r="295" spans="1:16" x14ac:dyDescent="0.3">
      <c r="B295" s="528" t="s">
        <v>4</v>
      </c>
      <c r="C295" s="45" t="s">
        <v>5</v>
      </c>
      <c r="D295" s="46"/>
      <c r="E295" s="47"/>
      <c r="F295" s="532" t="s">
        <v>6</v>
      </c>
      <c r="G295" s="532"/>
      <c r="H295" s="532"/>
      <c r="I295" s="8"/>
      <c r="J295" s="8"/>
      <c r="L295" s="524" t="s">
        <v>10</v>
      </c>
      <c r="M295" s="525"/>
    </row>
    <row r="296" spans="1:16" x14ac:dyDescent="0.3">
      <c r="B296" s="529"/>
      <c r="C296" s="6" t="s">
        <v>7</v>
      </c>
      <c r="D296" s="6" t="s">
        <v>8</v>
      </c>
      <c r="E296" s="6" t="s">
        <v>9</v>
      </c>
      <c r="F296" s="7" t="s">
        <v>7</v>
      </c>
      <c r="G296" s="7" t="s">
        <v>8</v>
      </c>
      <c r="H296" s="7" t="s">
        <v>9</v>
      </c>
      <c r="I296" s="8"/>
      <c r="J296" s="6" t="s">
        <v>19</v>
      </c>
      <c r="K296" s="6" t="s">
        <v>20</v>
      </c>
      <c r="L296" s="526"/>
      <c r="M296" s="527"/>
    </row>
    <row r="297" spans="1:16" x14ac:dyDescent="0.3">
      <c r="A297" s="530">
        <v>39844</v>
      </c>
      <c r="B297" s="9" t="s">
        <v>11</v>
      </c>
      <c r="C297" s="48"/>
      <c r="D297" s="48"/>
      <c r="E297" s="48"/>
      <c r="F297" s="49"/>
      <c r="G297" s="49"/>
      <c r="H297" s="49"/>
      <c r="I297" s="12"/>
      <c r="J297" s="24"/>
      <c r="K297" s="24"/>
      <c r="L297" s="24"/>
      <c r="M297" s="24"/>
    </row>
    <row r="298" spans="1:16" x14ac:dyDescent="0.3">
      <c r="A298" s="531"/>
      <c r="B298" s="50" t="s">
        <v>12</v>
      </c>
      <c r="C298" s="25">
        <v>57463</v>
      </c>
      <c r="D298" s="25">
        <v>325243</v>
      </c>
      <c r="E298" s="25">
        <v>382706</v>
      </c>
      <c r="F298" s="25">
        <v>716</v>
      </c>
      <c r="G298" s="15">
        <v>911</v>
      </c>
      <c r="H298" s="25">
        <v>1627</v>
      </c>
      <c r="I298" s="16"/>
      <c r="J298" s="27">
        <f t="shared" ref="J298:L305" si="36">C298-C284</f>
        <v>9452</v>
      </c>
      <c r="K298" s="27">
        <f t="shared" si="36"/>
        <v>3167</v>
      </c>
      <c r="L298" s="27">
        <f t="shared" si="36"/>
        <v>12619</v>
      </c>
      <c r="M298" s="28">
        <f t="shared" ref="M298:M305" si="37">L298/E284</f>
        <v>3.4097387911491084E-2</v>
      </c>
      <c r="O298" s="35"/>
      <c r="P298" s="35"/>
    </row>
    <row r="299" spans="1:16" x14ac:dyDescent="0.3">
      <c r="A299" s="531"/>
      <c r="B299" s="50" t="s">
        <v>13</v>
      </c>
      <c r="C299" s="25">
        <v>18540</v>
      </c>
      <c r="D299" s="25">
        <v>50092</v>
      </c>
      <c r="E299" s="25">
        <v>68632</v>
      </c>
      <c r="F299" s="15">
        <v>125</v>
      </c>
      <c r="G299" s="15">
        <v>185</v>
      </c>
      <c r="H299" s="25">
        <v>310</v>
      </c>
      <c r="I299" s="16"/>
      <c r="J299" s="27">
        <f t="shared" si="36"/>
        <v>7086</v>
      </c>
      <c r="K299" s="27">
        <f t="shared" si="36"/>
        <v>3069</v>
      </c>
      <c r="L299" s="27">
        <f t="shared" si="36"/>
        <v>10155</v>
      </c>
      <c r="M299" s="28">
        <f t="shared" si="37"/>
        <v>0.17365801939223968</v>
      </c>
      <c r="O299" s="35"/>
      <c r="P299" s="35"/>
    </row>
    <row r="300" spans="1:16" x14ac:dyDescent="0.3">
      <c r="A300" s="531"/>
      <c r="B300" s="50" t="s">
        <v>14</v>
      </c>
      <c r="C300" s="25">
        <v>572</v>
      </c>
      <c r="D300" s="25">
        <v>81330</v>
      </c>
      <c r="E300" s="25">
        <v>81902</v>
      </c>
      <c r="F300" s="15">
        <v>11</v>
      </c>
      <c r="G300" s="15">
        <v>51</v>
      </c>
      <c r="H300" s="15">
        <v>62</v>
      </c>
      <c r="I300" s="16"/>
      <c r="J300" s="27">
        <f t="shared" si="36"/>
        <v>-2484</v>
      </c>
      <c r="K300" s="27">
        <f t="shared" si="36"/>
        <v>-2882</v>
      </c>
      <c r="L300" s="27">
        <f t="shared" si="36"/>
        <v>-5366</v>
      </c>
      <c r="M300" s="28">
        <f t="shared" si="37"/>
        <v>-6.1488747307145805E-2</v>
      </c>
      <c r="O300" s="35"/>
      <c r="P300" s="35"/>
    </row>
    <row r="301" spans="1:16" x14ac:dyDescent="0.3">
      <c r="A301" s="531"/>
      <c r="B301" s="50" t="s">
        <v>15</v>
      </c>
      <c r="C301" s="25">
        <v>18981</v>
      </c>
      <c r="D301" s="25">
        <v>85872</v>
      </c>
      <c r="E301" s="25">
        <v>104853</v>
      </c>
      <c r="F301" s="15">
        <v>388</v>
      </c>
      <c r="G301" s="15">
        <v>703</v>
      </c>
      <c r="H301" s="25">
        <v>1091</v>
      </c>
      <c r="I301" s="16"/>
      <c r="J301" s="27">
        <f t="shared" si="36"/>
        <v>7858</v>
      </c>
      <c r="K301" s="27">
        <f t="shared" si="36"/>
        <v>3867</v>
      </c>
      <c r="L301" s="27">
        <f t="shared" si="36"/>
        <v>11725</v>
      </c>
      <c r="M301" s="28">
        <f t="shared" si="37"/>
        <v>0.12590198436560432</v>
      </c>
      <c r="O301" s="35"/>
      <c r="P301" s="35"/>
    </row>
    <row r="302" spans="1:16" x14ac:dyDescent="0.3">
      <c r="A302" s="531"/>
      <c r="B302" s="51" t="s">
        <v>17</v>
      </c>
      <c r="C302" s="22">
        <v>95556</v>
      </c>
      <c r="D302" s="22">
        <v>542537</v>
      </c>
      <c r="E302" s="22">
        <v>638093</v>
      </c>
      <c r="F302" s="22">
        <v>1240</v>
      </c>
      <c r="G302" s="22">
        <v>1850</v>
      </c>
      <c r="H302" s="22">
        <v>3090</v>
      </c>
      <c r="I302" s="23"/>
      <c r="J302" s="29">
        <f t="shared" si="36"/>
        <v>21912</v>
      </c>
      <c r="K302" s="29">
        <f t="shared" si="36"/>
        <v>7221</v>
      </c>
      <c r="L302" s="29">
        <f t="shared" si="36"/>
        <v>29133</v>
      </c>
      <c r="M302" s="30">
        <f t="shared" si="37"/>
        <v>4.7840580662112456E-2</v>
      </c>
      <c r="O302" s="35"/>
      <c r="P302" s="35"/>
    </row>
    <row r="303" spans="1:16" x14ac:dyDescent="0.3">
      <c r="A303" s="531"/>
      <c r="B303" s="50" t="s">
        <v>2</v>
      </c>
      <c r="C303" s="25">
        <v>25093</v>
      </c>
      <c r="D303" s="25">
        <v>40078</v>
      </c>
      <c r="E303" s="25">
        <v>65171</v>
      </c>
      <c r="F303" s="15">
        <v>19</v>
      </c>
      <c r="G303" s="15">
        <v>28</v>
      </c>
      <c r="H303" s="15">
        <v>47</v>
      </c>
      <c r="I303" s="16"/>
      <c r="J303" s="27">
        <f t="shared" si="36"/>
        <v>21358</v>
      </c>
      <c r="K303" s="27">
        <f t="shared" si="36"/>
        <v>566</v>
      </c>
      <c r="L303" s="27">
        <f t="shared" si="36"/>
        <v>21924</v>
      </c>
      <c r="M303" s="28">
        <f t="shared" si="37"/>
        <v>0.50694845885263717</v>
      </c>
      <c r="O303" s="35"/>
      <c r="P303" s="35"/>
    </row>
    <row r="304" spans="1:16" x14ac:dyDescent="0.3">
      <c r="A304" s="531"/>
      <c r="B304" s="50" t="s">
        <v>18</v>
      </c>
      <c r="C304" s="25">
        <v>2372</v>
      </c>
      <c r="D304" s="25">
        <v>25512</v>
      </c>
      <c r="E304" s="25">
        <v>27884</v>
      </c>
      <c r="F304" s="15">
        <v>30</v>
      </c>
      <c r="G304" s="15">
        <v>41</v>
      </c>
      <c r="H304" s="15">
        <v>71</v>
      </c>
      <c r="I304" s="16"/>
      <c r="J304" s="27">
        <f t="shared" si="36"/>
        <v>2372</v>
      </c>
      <c r="K304" s="27">
        <f t="shared" si="36"/>
        <v>-250</v>
      </c>
      <c r="L304" s="27">
        <f t="shared" si="36"/>
        <v>2122</v>
      </c>
      <c r="M304" s="28">
        <f t="shared" si="37"/>
        <v>8.2369381259218999E-2</v>
      </c>
      <c r="O304" s="35"/>
      <c r="P304" s="35"/>
    </row>
    <row r="305" spans="1:16" x14ac:dyDescent="0.3">
      <c r="A305" s="531"/>
      <c r="B305" s="51" t="s">
        <v>9</v>
      </c>
      <c r="C305" s="22">
        <v>123021</v>
      </c>
      <c r="D305" s="22">
        <v>608127</v>
      </c>
      <c r="E305" s="22">
        <v>731148</v>
      </c>
      <c r="F305" s="22">
        <v>1289</v>
      </c>
      <c r="G305" s="22">
        <v>1919</v>
      </c>
      <c r="H305" s="22">
        <v>3208</v>
      </c>
      <c r="I305" s="23"/>
      <c r="J305" s="33">
        <f t="shared" si="36"/>
        <v>45642</v>
      </c>
      <c r="K305" s="33">
        <f t="shared" si="36"/>
        <v>7537</v>
      </c>
      <c r="L305" s="33">
        <f t="shared" si="36"/>
        <v>53179</v>
      </c>
      <c r="M305" s="34">
        <f t="shared" si="37"/>
        <v>7.8438689674601644E-2</v>
      </c>
      <c r="O305" s="35"/>
      <c r="P305" s="35"/>
    </row>
    <row r="307" spans="1:16" x14ac:dyDescent="0.3">
      <c r="C307" s="35"/>
      <c r="D307" s="35"/>
      <c r="E307" s="35"/>
      <c r="F307" s="35"/>
      <c r="G307" s="35"/>
      <c r="H307" s="35"/>
    </row>
    <row r="308" spans="1:16" x14ac:dyDescent="0.3">
      <c r="C308" s="35"/>
      <c r="D308" s="35"/>
      <c r="E308" s="35"/>
      <c r="F308" s="35"/>
      <c r="G308" s="35"/>
      <c r="H308" s="35"/>
    </row>
    <row r="309" spans="1:16" x14ac:dyDescent="0.3">
      <c r="B309" s="528" t="s">
        <v>4</v>
      </c>
      <c r="C309" s="45" t="s">
        <v>5</v>
      </c>
      <c r="D309" s="46"/>
      <c r="E309" s="47"/>
      <c r="F309" s="532" t="s">
        <v>6</v>
      </c>
      <c r="G309" s="532"/>
      <c r="H309" s="532"/>
      <c r="I309" s="8"/>
      <c r="J309" s="8"/>
      <c r="L309" s="524" t="s">
        <v>10</v>
      </c>
      <c r="M309" s="525"/>
    </row>
    <row r="310" spans="1:16" x14ac:dyDescent="0.3">
      <c r="B310" s="529"/>
      <c r="C310" s="6" t="s">
        <v>7</v>
      </c>
      <c r="D310" s="6" t="s">
        <v>8</v>
      </c>
      <c r="E310" s="6" t="s">
        <v>9</v>
      </c>
      <c r="F310" s="7" t="s">
        <v>7</v>
      </c>
      <c r="G310" s="7" t="s">
        <v>8</v>
      </c>
      <c r="H310" s="7" t="s">
        <v>9</v>
      </c>
      <c r="I310" s="8"/>
      <c r="J310" s="6" t="s">
        <v>19</v>
      </c>
      <c r="K310" s="6" t="s">
        <v>20</v>
      </c>
      <c r="L310" s="526"/>
      <c r="M310" s="527"/>
    </row>
    <row r="311" spans="1:16" x14ac:dyDescent="0.3">
      <c r="A311" s="530">
        <v>39872</v>
      </c>
      <c r="B311" s="9" t="s">
        <v>11</v>
      </c>
      <c r="C311" s="48"/>
      <c r="D311" s="48"/>
      <c r="E311" s="48"/>
      <c r="F311" s="49"/>
      <c r="G311" s="49"/>
      <c r="H311" s="49"/>
      <c r="I311" s="12"/>
      <c r="J311" s="24"/>
      <c r="K311" s="24"/>
      <c r="L311" s="24"/>
      <c r="M311" s="24"/>
    </row>
    <row r="312" spans="1:16" x14ac:dyDescent="0.3">
      <c r="A312" s="531"/>
      <c r="B312" s="50" t="s">
        <v>12</v>
      </c>
      <c r="C312" s="25">
        <v>56829</v>
      </c>
      <c r="D312" s="25">
        <v>319968</v>
      </c>
      <c r="E312" s="25">
        <v>376797</v>
      </c>
      <c r="F312" s="25">
        <v>835</v>
      </c>
      <c r="G312" s="15">
        <v>868</v>
      </c>
      <c r="H312" s="25">
        <v>1703</v>
      </c>
      <c r="I312" s="16"/>
      <c r="J312" s="27">
        <f t="shared" ref="J312:L319" si="38">C312-C298</f>
        <v>-634</v>
      </c>
      <c r="K312" s="27">
        <f t="shared" si="38"/>
        <v>-5275</v>
      </c>
      <c r="L312" s="27">
        <f t="shared" si="38"/>
        <v>-5909</v>
      </c>
      <c r="M312" s="28">
        <f t="shared" ref="M312:M319" si="39">L312/E298</f>
        <v>-1.5440050587134772E-2</v>
      </c>
      <c r="O312" s="35"/>
      <c r="P312" s="35"/>
    </row>
    <row r="313" spans="1:16" x14ac:dyDescent="0.3">
      <c r="A313" s="531"/>
      <c r="B313" s="50" t="s">
        <v>13</v>
      </c>
      <c r="C313" s="25">
        <v>24893</v>
      </c>
      <c r="D313" s="25">
        <v>46380</v>
      </c>
      <c r="E313" s="25">
        <v>71273</v>
      </c>
      <c r="F313" s="15">
        <v>180</v>
      </c>
      <c r="G313" s="15">
        <v>128</v>
      </c>
      <c r="H313" s="25">
        <v>308</v>
      </c>
      <c r="I313" s="16"/>
      <c r="J313" s="27">
        <f t="shared" si="38"/>
        <v>6353</v>
      </c>
      <c r="K313" s="27">
        <f t="shared" si="38"/>
        <v>-3712</v>
      </c>
      <c r="L313" s="27">
        <f t="shared" si="38"/>
        <v>2641</v>
      </c>
      <c r="M313" s="28">
        <f t="shared" si="39"/>
        <v>3.8480592143606482E-2</v>
      </c>
      <c r="O313" s="35"/>
      <c r="P313" s="35"/>
    </row>
    <row r="314" spans="1:16" x14ac:dyDescent="0.3">
      <c r="A314" s="531"/>
      <c r="B314" s="50" t="s">
        <v>14</v>
      </c>
      <c r="C314" s="25">
        <v>682</v>
      </c>
      <c r="D314" s="25">
        <v>54978</v>
      </c>
      <c r="E314" s="25">
        <v>55660</v>
      </c>
      <c r="F314" s="15">
        <v>26</v>
      </c>
      <c r="G314" s="15">
        <v>28</v>
      </c>
      <c r="H314" s="15">
        <v>54</v>
      </c>
      <c r="I314" s="16"/>
      <c r="J314" s="27">
        <f t="shared" si="38"/>
        <v>110</v>
      </c>
      <c r="K314" s="27">
        <f t="shared" si="38"/>
        <v>-26352</v>
      </c>
      <c r="L314" s="27">
        <f t="shared" si="38"/>
        <v>-26242</v>
      </c>
      <c r="M314" s="28">
        <f t="shared" si="39"/>
        <v>-0.32040731606065787</v>
      </c>
      <c r="O314" s="35"/>
      <c r="P314" s="35"/>
    </row>
    <row r="315" spans="1:16" x14ac:dyDescent="0.3">
      <c r="A315" s="531"/>
      <c r="B315" s="50" t="s">
        <v>15</v>
      </c>
      <c r="C315" s="25">
        <v>19050</v>
      </c>
      <c r="D315" s="25">
        <v>89555</v>
      </c>
      <c r="E315" s="25">
        <v>108605</v>
      </c>
      <c r="F315" s="15">
        <v>405</v>
      </c>
      <c r="G315" s="15">
        <v>716</v>
      </c>
      <c r="H315" s="25">
        <v>1121</v>
      </c>
      <c r="I315" s="16"/>
      <c r="J315" s="27">
        <f t="shared" si="38"/>
        <v>69</v>
      </c>
      <c r="K315" s="27">
        <f t="shared" si="38"/>
        <v>3683</v>
      </c>
      <c r="L315" s="27">
        <f t="shared" si="38"/>
        <v>3752</v>
      </c>
      <c r="M315" s="28">
        <f t="shared" si="39"/>
        <v>3.5783430135523063E-2</v>
      </c>
      <c r="O315" s="35"/>
      <c r="P315" s="35"/>
    </row>
    <row r="316" spans="1:16" x14ac:dyDescent="0.3">
      <c r="A316" s="531"/>
      <c r="B316" s="51" t="s">
        <v>17</v>
      </c>
      <c r="C316" s="22">
        <v>101454</v>
      </c>
      <c r="D316" s="22">
        <v>510881</v>
      </c>
      <c r="E316" s="22">
        <v>612335</v>
      </c>
      <c r="F316" s="22">
        <v>1446</v>
      </c>
      <c r="G316" s="22">
        <v>1740</v>
      </c>
      <c r="H316" s="22">
        <v>3186</v>
      </c>
      <c r="I316" s="23"/>
      <c r="J316" s="29">
        <f t="shared" si="38"/>
        <v>5898</v>
      </c>
      <c r="K316" s="29">
        <f t="shared" si="38"/>
        <v>-31656</v>
      </c>
      <c r="L316" s="29">
        <f t="shared" si="38"/>
        <v>-25758</v>
      </c>
      <c r="M316" s="30">
        <f t="shared" si="39"/>
        <v>-4.0367156511668362E-2</v>
      </c>
      <c r="O316" s="35"/>
      <c r="P316" s="35"/>
    </row>
    <row r="317" spans="1:16" x14ac:dyDescent="0.3">
      <c r="A317" s="531"/>
      <c r="B317" s="50" t="s">
        <v>2</v>
      </c>
      <c r="C317" s="25">
        <v>162410</v>
      </c>
      <c r="D317" s="25">
        <v>59926</v>
      </c>
      <c r="E317" s="25">
        <v>222336</v>
      </c>
      <c r="F317" s="15">
        <v>12</v>
      </c>
      <c r="G317" s="15">
        <v>25</v>
      </c>
      <c r="H317" s="15">
        <v>37</v>
      </c>
      <c r="I317" s="16"/>
      <c r="J317" s="27">
        <f t="shared" si="38"/>
        <v>137317</v>
      </c>
      <c r="K317" s="27">
        <f t="shared" si="38"/>
        <v>19848</v>
      </c>
      <c r="L317" s="27">
        <f t="shared" si="38"/>
        <v>157165</v>
      </c>
      <c r="M317" s="28">
        <f t="shared" si="39"/>
        <v>2.4115787696981785</v>
      </c>
      <c r="O317" s="35"/>
      <c r="P317" s="35"/>
    </row>
    <row r="318" spans="1:16" x14ac:dyDescent="0.3">
      <c r="A318" s="531"/>
      <c r="B318" s="50" t="s">
        <v>18</v>
      </c>
      <c r="C318" s="25">
        <v>0</v>
      </c>
      <c r="D318" s="25">
        <v>26759</v>
      </c>
      <c r="E318" s="25">
        <v>26759</v>
      </c>
      <c r="F318" s="15">
        <v>0</v>
      </c>
      <c r="G318" s="15">
        <v>42</v>
      </c>
      <c r="H318" s="15">
        <v>42</v>
      </c>
      <c r="I318" s="16"/>
      <c r="J318" s="27">
        <f t="shared" si="38"/>
        <v>-2372</v>
      </c>
      <c r="K318" s="27">
        <f t="shared" si="38"/>
        <v>1247</v>
      </c>
      <c r="L318" s="27">
        <f t="shared" si="38"/>
        <v>-1125</v>
      </c>
      <c r="M318" s="28">
        <f t="shared" si="39"/>
        <v>-4.0345717974465643E-2</v>
      </c>
      <c r="O318" s="35"/>
      <c r="P318" s="35"/>
    </row>
    <row r="319" spans="1:16" x14ac:dyDescent="0.3">
      <c r="A319" s="531"/>
      <c r="B319" s="51" t="s">
        <v>9</v>
      </c>
      <c r="C319" s="22">
        <v>263864</v>
      </c>
      <c r="D319" s="22">
        <v>597566</v>
      </c>
      <c r="E319" s="22">
        <v>861430</v>
      </c>
      <c r="F319" s="22">
        <v>1458</v>
      </c>
      <c r="G319" s="22">
        <v>1807</v>
      </c>
      <c r="H319" s="22">
        <v>3265</v>
      </c>
      <c r="I319" s="23"/>
      <c r="J319" s="33">
        <f t="shared" si="38"/>
        <v>140843</v>
      </c>
      <c r="K319" s="33">
        <f t="shared" si="38"/>
        <v>-10561</v>
      </c>
      <c r="L319" s="33">
        <f t="shared" si="38"/>
        <v>130282</v>
      </c>
      <c r="M319" s="34">
        <f t="shared" si="39"/>
        <v>0.1781882737831465</v>
      </c>
      <c r="O319" s="35"/>
      <c r="P319" s="35"/>
    </row>
    <row r="321" spans="1:16" x14ac:dyDescent="0.3">
      <c r="C321" s="35"/>
      <c r="D321" s="35"/>
      <c r="E321" s="35"/>
      <c r="F321" s="35"/>
      <c r="G321" s="35"/>
      <c r="H321" s="35"/>
    </row>
    <row r="322" spans="1:16" x14ac:dyDescent="0.3">
      <c r="C322" s="35"/>
      <c r="D322" s="35"/>
      <c r="E322" s="35"/>
      <c r="F322" s="35"/>
      <c r="G322" s="35"/>
      <c r="H322" s="35"/>
    </row>
    <row r="323" spans="1:16" x14ac:dyDescent="0.3">
      <c r="B323" s="528" t="s">
        <v>4</v>
      </c>
      <c r="C323" s="45" t="s">
        <v>5</v>
      </c>
      <c r="D323" s="46"/>
      <c r="E323" s="47"/>
      <c r="F323" s="532" t="s">
        <v>6</v>
      </c>
      <c r="G323" s="532"/>
      <c r="H323" s="532"/>
      <c r="I323" s="8"/>
      <c r="J323" s="8"/>
      <c r="L323" s="524" t="s">
        <v>10</v>
      </c>
      <c r="M323" s="525"/>
    </row>
    <row r="324" spans="1:16" x14ac:dyDescent="0.3">
      <c r="B324" s="529"/>
      <c r="C324" s="6" t="s">
        <v>7</v>
      </c>
      <c r="D324" s="6" t="s">
        <v>8</v>
      </c>
      <c r="E324" s="6" t="s">
        <v>9</v>
      </c>
      <c r="F324" s="7" t="s">
        <v>7</v>
      </c>
      <c r="G324" s="7" t="s">
        <v>8</v>
      </c>
      <c r="H324" s="7" t="s">
        <v>9</v>
      </c>
      <c r="I324" s="8"/>
      <c r="J324" s="6" t="s">
        <v>19</v>
      </c>
      <c r="K324" s="6" t="s">
        <v>20</v>
      </c>
      <c r="L324" s="526"/>
      <c r="M324" s="527"/>
    </row>
    <row r="325" spans="1:16" x14ac:dyDescent="0.3">
      <c r="A325" s="530">
        <v>39903</v>
      </c>
      <c r="B325" s="9" t="s">
        <v>11</v>
      </c>
      <c r="C325" s="48"/>
      <c r="D325" s="48"/>
      <c r="E325" s="48"/>
      <c r="F325" s="49"/>
      <c r="G325" s="49"/>
      <c r="H325" s="49"/>
      <c r="I325" s="12"/>
      <c r="J325" s="24"/>
      <c r="K325" s="24"/>
      <c r="L325" s="24"/>
      <c r="M325" s="24"/>
    </row>
    <row r="326" spans="1:16" x14ac:dyDescent="0.3">
      <c r="A326" s="531"/>
      <c r="B326" s="50" t="s">
        <v>12</v>
      </c>
      <c r="C326" s="25">
        <v>75794</v>
      </c>
      <c r="D326" s="25">
        <v>340164</v>
      </c>
      <c r="E326" s="25">
        <v>415958</v>
      </c>
      <c r="F326" s="25">
        <v>820</v>
      </c>
      <c r="G326" s="15">
        <v>959</v>
      </c>
      <c r="H326" s="25">
        <v>1779</v>
      </c>
      <c r="I326" s="16"/>
      <c r="J326" s="27">
        <f t="shared" ref="J326:L333" si="40">C326-C312</f>
        <v>18965</v>
      </c>
      <c r="K326" s="27">
        <f t="shared" si="40"/>
        <v>20196</v>
      </c>
      <c r="L326" s="27">
        <f t="shared" si="40"/>
        <v>39161</v>
      </c>
      <c r="M326" s="28">
        <f t="shared" ref="M326:M333" si="41">L326/E312</f>
        <v>0.10393129456975507</v>
      </c>
      <c r="O326" s="35"/>
      <c r="P326" s="35"/>
    </row>
    <row r="327" spans="1:16" x14ac:dyDescent="0.3">
      <c r="A327" s="531"/>
      <c r="B327" s="50" t="s">
        <v>13</v>
      </c>
      <c r="C327" s="25">
        <v>17864</v>
      </c>
      <c r="D327" s="25">
        <v>64525</v>
      </c>
      <c r="E327" s="25">
        <v>82389</v>
      </c>
      <c r="F327" s="15">
        <v>201</v>
      </c>
      <c r="G327" s="15">
        <v>164</v>
      </c>
      <c r="H327" s="25">
        <v>365</v>
      </c>
      <c r="I327" s="16"/>
      <c r="J327" s="27">
        <f t="shared" si="40"/>
        <v>-7029</v>
      </c>
      <c r="K327" s="27">
        <f t="shared" si="40"/>
        <v>18145</v>
      </c>
      <c r="L327" s="27">
        <f t="shared" si="40"/>
        <v>11116</v>
      </c>
      <c r="M327" s="28">
        <f t="shared" si="41"/>
        <v>0.15596368891445569</v>
      </c>
      <c r="O327" s="35"/>
      <c r="P327" s="35"/>
    </row>
    <row r="328" spans="1:16" x14ac:dyDescent="0.3">
      <c r="A328" s="531"/>
      <c r="B328" s="50" t="s">
        <v>14</v>
      </c>
      <c r="C328" s="25">
        <v>17456</v>
      </c>
      <c r="D328" s="25">
        <v>51459</v>
      </c>
      <c r="E328" s="25">
        <v>68915</v>
      </c>
      <c r="F328" s="15">
        <v>81</v>
      </c>
      <c r="G328" s="15">
        <v>34</v>
      </c>
      <c r="H328" s="15">
        <v>115</v>
      </c>
      <c r="I328" s="16"/>
      <c r="J328" s="27">
        <f t="shared" si="40"/>
        <v>16774</v>
      </c>
      <c r="K328" s="27">
        <f t="shared" si="40"/>
        <v>-3519</v>
      </c>
      <c r="L328" s="27">
        <f t="shared" si="40"/>
        <v>13255</v>
      </c>
      <c r="M328" s="28">
        <f t="shared" si="41"/>
        <v>0.23814229249011859</v>
      </c>
      <c r="O328" s="35"/>
      <c r="P328" s="35"/>
    </row>
    <row r="329" spans="1:16" x14ac:dyDescent="0.3">
      <c r="A329" s="531"/>
      <c r="B329" s="50" t="s">
        <v>15</v>
      </c>
      <c r="C329" s="25">
        <v>16994</v>
      </c>
      <c r="D329" s="25">
        <v>99311</v>
      </c>
      <c r="E329" s="25">
        <v>116305</v>
      </c>
      <c r="F329" s="15">
        <v>355</v>
      </c>
      <c r="G329" s="15">
        <v>760</v>
      </c>
      <c r="H329" s="25">
        <v>1115</v>
      </c>
      <c r="I329" s="16"/>
      <c r="J329" s="27">
        <f t="shared" si="40"/>
        <v>-2056</v>
      </c>
      <c r="K329" s="27">
        <f t="shared" si="40"/>
        <v>9756</v>
      </c>
      <c r="L329" s="27">
        <f t="shared" si="40"/>
        <v>7700</v>
      </c>
      <c r="M329" s="28">
        <f t="shared" si="41"/>
        <v>7.0899129874315181E-2</v>
      </c>
      <c r="O329" s="35"/>
      <c r="P329" s="35"/>
    </row>
    <row r="330" spans="1:16" x14ac:dyDescent="0.3">
      <c r="A330" s="531"/>
      <c r="B330" s="51" t="s">
        <v>17</v>
      </c>
      <c r="C330" s="22">
        <v>128108</v>
      </c>
      <c r="D330" s="22">
        <v>555459</v>
      </c>
      <c r="E330" s="22">
        <v>683567</v>
      </c>
      <c r="F330" s="22">
        <v>1457</v>
      </c>
      <c r="G330" s="22">
        <v>1917</v>
      </c>
      <c r="H330" s="22">
        <v>3374</v>
      </c>
      <c r="I330" s="23"/>
      <c r="J330" s="29">
        <f t="shared" si="40"/>
        <v>26654</v>
      </c>
      <c r="K330" s="29">
        <f t="shared" si="40"/>
        <v>44578</v>
      </c>
      <c r="L330" s="29">
        <f t="shared" si="40"/>
        <v>71232</v>
      </c>
      <c r="M330" s="30">
        <f t="shared" si="41"/>
        <v>0.11632848032531212</v>
      </c>
      <c r="O330" s="35"/>
      <c r="P330" s="35"/>
    </row>
    <row r="331" spans="1:16" x14ac:dyDescent="0.3">
      <c r="A331" s="531"/>
      <c r="B331" s="50" t="s">
        <v>2</v>
      </c>
      <c r="C331" s="25">
        <v>10424</v>
      </c>
      <c r="D331" s="25">
        <v>48902</v>
      </c>
      <c r="E331" s="25">
        <v>59326</v>
      </c>
      <c r="F331" s="15">
        <v>9</v>
      </c>
      <c r="G331" s="15">
        <v>21</v>
      </c>
      <c r="H331" s="15">
        <v>30</v>
      </c>
      <c r="I331" s="16"/>
      <c r="J331" s="27">
        <f t="shared" si="40"/>
        <v>-151986</v>
      </c>
      <c r="K331" s="27">
        <f t="shared" si="40"/>
        <v>-11024</v>
      </c>
      <c r="L331" s="27">
        <f t="shared" si="40"/>
        <v>-163010</v>
      </c>
      <c r="M331" s="28">
        <f t="shared" si="41"/>
        <v>-0.73316961715601614</v>
      </c>
      <c r="O331" s="35"/>
      <c r="P331" s="35"/>
    </row>
    <row r="332" spans="1:16" x14ac:dyDescent="0.3">
      <c r="A332" s="531"/>
      <c r="B332" s="50" t="s">
        <v>18</v>
      </c>
      <c r="C332" s="25">
        <v>0</v>
      </c>
      <c r="D332" s="25">
        <v>26159</v>
      </c>
      <c r="E332" s="25">
        <v>26159</v>
      </c>
      <c r="F332" s="15">
        <v>0</v>
      </c>
      <c r="G332" s="15">
        <v>41</v>
      </c>
      <c r="H332" s="15">
        <v>41</v>
      </c>
      <c r="I332" s="16"/>
      <c r="J332" s="27">
        <f t="shared" si="40"/>
        <v>0</v>
      </c>
      <c r="K332" s="27">
        <f t="shared" si="40"/>
        <v>-600</v>
      </c>
      <c r="L332" s="27">
        <f t="shared" si="40"/>
        <v>-600</v>
      </c>
      <c r="M332" s="28">
        <f t="shared" si="41"/>
        <v>-2.2422362569602752E-2</v>
      </c>
      <c r="O332" s="35"/>
      <c r="P332" s="35"/>
    </row>
    <row r="333" spans="1:16" x14ac:dyDescent="0.3">
      <c r="A333" s="531"/>
      <c r="B333" s="51" t="s">
        <v>9</v>
      </c>
      <c r="C333" s="22">
        <v>138532</v>
      </c>
      <c r="D333" s="22">
        <v>630520</v>
      </c>
      <c r="E333" s="22">
        <v>769052</v>
      </c>
      <c r="F333" s="22">
        <v>1466</v>
      </c>
      <c r="G333" s="22">
        <v>1979</v>
      </c>
      <c r="H333" s="22">
        <v>3445</v>
      </c>
      <c r="I333" s="23"/>
      <c r="J333" s="33">
        <f t="shared" si="40"/>
        <v>-125332</v>
      </c>
      <c r="K333" s="33">
        <f t="shared" si="40"/>
        <v>32954</v>
      </c>
      <c r="L333" s="33">
        <f t="shared" si="40"/>
        <v>-92378</v>
      </c>
      <c r="M333" s="34">
        <f t="shared" si="41"/>
        <v>-0.10723796477949456</v>
      </c>
      <c r="O333" s="35"/>
      <c r="P333" s="35"/>
    </row>
    <row r="335" spans="1:16" x14ac:dyDescent="0.3">
      <c r="C335" s="35"/>
      <c r="D335" s="35"/>
      <c r="E335" s="35"/>
      <c r="F335" s="35"/>
      <c r="G335" s="35"/>
      <c r="H335" s="35"/>
    </row>
    <row r="336" spans="1:16" x14ac:dyDescent="0.3">
      <c r="C336" s="35"/>
      <c r="D336" s="35"/>
      <c r="E336" s="35"/>
      <c r="F336" s="35"/>
      <c r="G336" s="35"/>
      <c r="H336" s="35"/>
    </row>
    <row r="337" spans="1:16" x14ac:dyDescent="0.3">
      <c r="B337" s="528" t="s">
        <v>4</v>
      </c>
      <c r="C337" s="45" t="s">
        <v>5</v>
      </c>
      <c r="D337" s="46"/>
      <c r="E337" s="47"/>
      <c r="F337" s="532" t="s">
        <v>6</v>
      </c>
      <c r="G337" s="532"/>
      <c r="H337" s="532"/>
      <c r="I337" s="8"/>
      <c r="J337" s="8"/>
      <c r="L337" s="524" t="s">
        <v>10</v>
      </c>
      <c r="M337" s="525"/>
    </row>
    <row r="338" spans="1:16" x14ac:dyDescent="0.3">
      <c r="B338" s="529"/>
      <c r="C338" s="6" t="s">
        <v>7</v>
      </c>
      <c r="D338" s="6" t="s">
        <v>8</v>
      </c>
      <c r="E338" s="6" t="s">
        <v>9</v>
      </c>
      <c r="F338" s="7" t="s">
        <v>7</v>
      </c>
      <c r="G338" s="7" t="s">
        <v>8</v>
      </c>
      <c r="H338" s="7" t="s">
        <v>9</v>
      </c>
      <c r="I338" s="8"/>
      <c r="J338" s="6" t="s">
        <v>19</v>
      </c>
      <c r="K338" s="6" t="s">
        <v>20</v>
      </c>
      <c r="L338" s="526"/>
      <c r="M338" s="527"/>
    </row>
    <row r="339" spans="1:16" x14ac:dyDescent="0.3">
      <c r="A339" s="530">
        <v>39933</v>
      </c>
      <c r="B339" s="9" t="s">
        <v>11</v>
      </c>
      <c r="C339" s="48"/>
      <c r="D339" s="48"/>
      <c r="E339" s="48"/>
      <c r="F339" s="49"/>
      <c r="G339" s="49"/>
      <c r="H339" s="49"/>
      <c r="I339" s="12"/>
      <c r="J339" s="24"/>
      <c r="K339" s="24"/>
      <c r="L339" s="24"/>
      <c r="M339" s="24"/>
    </row>
    <row r="340" spans="1:16" x14ac:dyDescent="0.3">
      <c r="A340" s="531"/>
      <c r="B340" s="50" t="s">
        <v>12</v>
      </c>
      <c r="C340" s="25">
        <v>21572</v>
      </c>
      <c r="D340" s="25">
        <v>347318</v>
      </c>
      <c r="E340" s="25">
        <v>368890</v>
      </c>
      <c r="F340" s="25">
        <v>233</v>
      </c>
      <c r="G340" s="15">
        <v>973</v>
      </c>
      <c r="H340" s="25">
        <v>1206</v>
      </c>
      <c r="I340" s="16"/>
      <c r="J340" s="27">
        <f t="shared" ref="J340:L347" si="42">C340-C326</f>
        <v>-54222</v>
      </c>
      <c r="K340" s="27">
        <f t="shared" si="42"/>
        <v>7154</v>
      </c>
      <c r="L340" s="27">
        <f t="shared" si="42"/>
        <v>-47068</v>
      </c>
      <c r="M340" s="28">
        <f t="shared" ref="M340:M347" si="43">L340/E326</f>
        <v>-0.11315565513825915</v>
      </c>
      <c r="O340" s="35"/>
      <c r="P340" s="35"/>
    </row>
    <row r="341" spans="1:16" x14ac:dyDescent="0.3">
      <c r="A341" s="531"/>
      <c r="B341" s="50" t="s">
        <v>13</v>
      </c>
      <c r="C341" s="25">
        <v>18974</v>
      </c>
      <c r="D341" s="25">
        <v>73945</v>
      </c>
      <c r="E341" s="25">
        <v>92919</v>
      </c>
      <c r="F341" s="15">
        <v>21</v>
      </c>
      <c r="G341" s="15">
        <v>173</v>
      </c>
      <c r="H341" s="25">
        <v>194</v>
      </c>
      <c r="I341" s="16"/>
      <c r="J341" s="27">
        <f t="shared" si="42"/>
        <v>1110</v>
      </c>
      <c r="K341" s="27">
        <f t="shared" si="42"/>
        <v>9420</v>
      </c>
      <c r="L341" s="27">
        <f t="shared" si="42"/>
        <v>10530</v>
      </c>
      <c r="M341" s="28">
        <f t="shared" si="43"/>
        <v>0.1278083239267378</v>
      </c>
      <c r="O341" s="35"/>
      <c r="P341" s="35"/>
    </row>
    <row r="342" spans="1:16" x14ac:dyDescent="0.3">
      <c r="A342" s="531"/>
      <c r="B342" s="50" t="s">
        <v>14</v>
      </c>
      <c r="C342" s="25">
        <v>317</v>
      </c>
      <c r="D342" s="25">
        <v>61484</v>
      </c>
      <c r="E342" s="25">
        <v>61801</v>
      </c>
      <c r="F342" s="15">
        <v>7</v>
      </c>
      <c r="G342" s="15">
        <v>54</v>
      </c>
      <c r="H342" s="15">
        <v>61</v>
      </c>
      <c r="I342" s="16"/>
      <c r="J342" s="27">
        <f t="shared" si="42"/>
        <v>-17139</v>
      </c>
      <c r="K342" s="27">
        <f t="shared" si="42"/>
        <v>10025</v>
      </c>
      <c r="L342" s="27">
        <f t="shared" si="42"/>
        <v>-7114</v>
      </c>
      <c r="M342" s="28">
        <f t="shared" si="43"/>
        <v>-0.10322861496045854</v>
      </c>
      <c r="O342" s="35"/>
      <c r="P342" s="35"/>
    </row>
    <row r="343" spans="1:16" x14ac:dyDescent="0.3">
      <c r="A343" s="531"/>
      <c r="B343" s="50" t="s">
        <v>15</v>
      </c>
      <c r="C343" s="25">
        <v>5348</v>
      </c>
      <c r="D343" s="25">
        <v>109618</v>
      </c>
      <c r="E343" s="25">
        <v>114966</v>
      </c>
      <c r="F343" s="15">
        <v>114</v>
      </c>
      <c r="G343" s="15">
        <v>795</v>
      </c>
      <c r="H343" s="25">
        <v>909</v>
      </c>
      <c r="I343" s="16"/>
      <c r="J343" s="27">
        <f t="shared" si="42"/>
        <v>-11646</v>
      </c>
      <c r="K343" s="27">
        <f t="shared" si="42"/>
        <v>10307</v>
      </c>
      <c r="L343" s="27">
        <f t="shared" si="42"/>
        <v>-1339</v>
      </c>
      <c r="M343" s="28">
        <f t="shared" si="43"/>
        <v>-1.1512832638321655E-2</v>
      </c>
      <c r="O343" s="35"/>
      <c r="P343" s="35"/>
    </row>
    <row r="344" spans="1:16" x14ac:dyDescent="0.3">
      <c r="A344" s="531"/>
      <c r="B344" s="51" t="s">
        <v>17</v>
      </c>
      <c r="C344" s="22">
        <v>46211</v>
      </c>
      <c r="D344" s="22">
        <v>592365</v>
      </c>
      <c r="E344" s="22">
        <v>638576</v>
      </c>
      <c r="F344" s="22">
        <v>375</v>
      </c>
      <c r="G344" s="22">
        <v>1995</v>
      </c>
      <c r="H344" s="22">
        <v>2370</v>
      </c>
      <c r="I344" s="23"/>
      <c r="J344" s="29">
        <f t="shared" si="42"/>
        <v>-81897</v>
      </c>
      <c r="K344" s="29">
        <f t="shared" si="42"/>
        <v>36906</v>
      </c>
      <c r="L344" s="29">
        <f t="shared" si="42"/>
        <v>-44991</v>
      </c>
      <c r="M344" s="30">
        <f t="shared" si="43"/>
        <v>-6.5817981265918341E-2</v>
      </c>
      <c r="O344" s="35"/>
      <c r="P344" s="35"/>
    </row>
    <row r="345" spans="1:16" x14ac:dyDescent="0.3">
      <c r="A345" s="531"/>
      <c r="B345" s="50" t="s">
        <v>2</v>
      </c>
      <c r="C345" s="25">
        <v>83180</v>
      </c>
      <c r="D345" s="25">
        <v>16831</v>
      </c>
      <c r="E345" s="25">
        <v>100011</v>
      </c>
      <c r="F345" s="15">
        <v>16</v>
      </c>
      <c r="G345" s="15">
        <v>20</v>
      </c>
      <c r="H345" s="15">
        <v>36</v>
      </c>
      <c r="I345" s="16"/>
      <c r="J345" s="27">
        <f t="shared" si="42"/>
        <v>72756</v>
      </c>
      <c r="K345" s="27">
        <f t="shared" si="42"/>
        <v>-32071</v>
      </c>
      <c r="L345" s="27">
        <f t="shared" si="42"/>
        <v>40685</v>
      </c>
      <c r="M345" s="28">
        <f t="shared" si="43"/>
        <v>0.68578700738293497</v>
      </c>
      <c r="O345" s="35"/>
      <c r="P345" s="35"/>
    </row>
    <row r="346" spans="1:16" x14ac:dyDescent="0.3">
      <c r="A346" s="531"/>
      <c r="B346" s="50" t="s">
        <v>18</v>
      </c>
      <c r="C346" s="25">
        <v>2468</v>
      </c>
      <c r="D346" s="25">
        <v>25395</v>
      </c>
      <c r="E346" s="25">
        <v>27863</v>
      </c>
      <c r="F346" s="15">
        <v>34</v>
      </c>
      <c r="G346" s="15">
        <v>39</v>
      </c>
      <c r="H346" s="15">
        <v>73</v>
      </c>
      <c r="I346" s="16"/>
      <c r="J346" s="27">
        <f t="shared" si="42"/>
        <v>2468</v>
      </c>
      <c r="K346" s="27">
        <f t="shared" si="42"/>
        <v>-764</v>
      </c>
      <c r="L346" s="27">
        <f t="shared" si="42"/>
        <v>1704</v>
      </c>
      <c r="M346" s="28">
        <f t="shared" si="43"/>
        <v>6.5140104744065133E-2</v>
      </c>
      <c r="O346" s="35"/>
      <c r="P346" s="35"/>
    </row>
    <row r="347" spans="1:16" x14ac:dyDescent="0.3">
      <c r="A347" s="531"/>
      <c r="B347" s="51" t="s">
        <v>9</v>
      </c>
      <c r="C347" s="22">
        <v>131859</v>
      </c>
      <c r="D347" s="22">
        <v>634591</v>
      </c>
      <c r="E347" s="22">
        <v>766450</v>
      </c>
      <c r="F347" s="22">
        <v>425</v>
      </c>
      <c r="G347" s="22">
        <v>2054</v>
      </c>
      <c r="H347" s="22">
        <v>2479</v>
      </c>
      <c r="I347" s="23"/>
      <c r="J347" s="33">
        <f t="shared" si="42"/>
        <v>-6673</v>
      </c>
      <c r="K347" s="33">
        <f t="shared" si="42"/>
        <v>4071</v>
      </c>
      <c r="L347" s="33">
        <f t="shared" si="42"/>
        <v>-2602</v>
      </c>
      <c r="M347" s="34">
        <f t="shared" si="43"/>
        <v>-3.3833862989758822E-3</v>
      </c>
      <c r="O347" s="35"/>
      <c r="P347" s="35"/>
    </row>
    <row r="349" spans="1:16" x14ac:dyDescent="0.3">
      <c r="C349" s="35"/>
      <c r="D349" s="35"/>
      <c r="E349" s="35"/>
      <c r="F349" s="35"/>
      <c r="G349" s="35"/>
      <c r="H349" s="35"/>
    </row>
    <row r="350" spans="1:16" x14ac:dyDescent="0.3">
      <c r="C350" s="35"/>
      <c r="D350" s="35"/>
      <c r="E350" s="35"/>
      <c r="F350" s="35"/>
      <c r="G350" s="35"/>
      <c r="H350" s="35"/>
    </row>
    <row r="351" spans="1:16" x14ac:dyDescent="0.3">
      <c r="B351" s="528" t="s">
        <v>4</v>
      </c>
      <c r="C351" s="45" t="s">
        <v>5</v>
      </c>
      <c r="D351" s="46"/>
      <c r="E351" s="47"/>
      <c r="F351" s="532" t="s">
        <v>6</v>
      </c>
      <c r="G351" s="532"/>
      <c r="H351" s="532"/>
      <c r="I351" s="8"/>
      <c r="J351" s="8"/>
      <c r="L351" s="524" t="s">
        <v>10</v>
      </c>
      <c r="M351" s="525"/>
    </row>
    <row r="352" spans="1:16" x14ac:dyDescent="0.3">
      <c r="B352" s="529"/>
      <c r="C352" s="6" t="s">
        <v>7</v>
      </c>
      <c r="D352" s="6" t="s">
        <v>8</v>
      </c>
      <c r="E352" s="6" t="s">
        <v>9</v>
      </c>
      <c r="F352" s="7" t="s">
        <v>7</v>
      </c>
      <c r="G352" s="7" t="s">
        <v>8</v>
      </c>
      <c r="H352" s="7" t="s">
        <v>9</v>
      </c>
      <c r="I352" s="8"/>
      <c r="J352" s="6" t="s">
        <v>19</v>
      </c>
      <c r="K352" s="6" t="s">
        <v>20</v>
      </c>
      <c r="L352" s="526"/>
      <c r="M352" s="527"/>
    </row>
    <row r="353" spans="1:19" x14ac:dyDescent="0.3">
      <c r="A353" s="530">
        <v>39964</v>
      </c>
      <c r="B353" s="9" t="s">
        <v>11</v>
      </c>
      <c r="C353" s="48"/>
      <c r="D353" s="48"/>
      <c r="E353" s="48"/>
      <c r="F353" s="49"/>
      <c r="G353" s="49"/>
      <c r="H353" s="49"/>
      <c r="I353" s="12"/>
      <c r="J353" s="24"/>
      <c r="K353" s="24"/>
      <c r="L353" s="24"/>
      <c r="M353" s="24"/>
    </row>
    <row r="354" spans="1:19" x14ac:dyDescent="0.3">
      <c r="A354" s="531"/>
      <c r="B354" s="50" t="s">
        <v>12</v>
      </c>
      <c r="C354" s="25">
        <v>83544</v>
      </c>
      <c r="D354" s="25">
        <v>335652</v>
      </c>
      <c r="E354" s="25">
        <v>419196</v>
      </c>
      <c r="F354" s="25">
        <v>1128</v>
      </c>
      <c r="G354" s="15">
        <v>818</v>
      </c>
      <c r="H354" s="25">
        <v>1946</v>
      </c>
      <c r="I354" s="16"/>
      <c r="J354" s="27">
        <f t="shared" ref="J354:L361" si="44">C354-C340</f>
        <v>61972</v>
      </c>
      <c r="K354" s="27">
        <f t="shared" si="44"/>
        <v>-11666</v>
      </c>
      <c r="L354" s="27">
        <f t="shared" si="44"/>
        <v>50306</v>
      </c>
      <c r="M354" s="28">
        <f t="shared" ref="M354:M361" si="45">L354/E340</f>
        <v>0.13637127599013257</v>
      </c>
      <c r="O354" s="35"/>
      <c r="P354" s="35"/>
    </row>
    <row r="355" spans="1:19" x14ac:dyDescent="0.3">
      <c r="A355" s="531"/>
      <c r="B355" s="50" t="s">
        <v>13</v>
      </c>
      <c r="C355" s="25">
        <v>120121</v>
      </c>
      <c r="D355" s="25">
        <v>78162</v>
      </c>
      <c r="E355" s="25">
        <v>198283</v>
      </c>
      <c r="F355" s="15">
        <v>53</v>
      </c>
      <c r="G355" s="15">
        <v>212</v>
      </c>
      <c r="H355" s="25">
        <v>265</v>
      </c>
      <c r="I355" s="16"/>
      <c r="J355" s="27">
        <f t="shared" si="44"/>
        <v>101147</v>
      </c>
      <c r="K355" s="27">
        <f t="shared" si="44"/>
        <v>4217</v>
      </c>
      <c r="L355" s="27">
        <f t="shared" si="44"/>
        <v>105364</v>
      </c>
      <c r="M355" s="28">
        <f t="shared" si="45"/>
        <v>1.133933856369526</v>
      </c>
      <c r="O355" s="35"/>
      <c r="P355" s="35"/>
      <c r="Q355" s="35"/>
      <c r="R355" s="35"/>
      <c r="S355" s="35"/>
    </row>
    <row r="356" spans="1:19" x14ac:dyDescent="0.3">
      <c r="A356" s="531"/>
      <c r="B356" s="50" t="s">
        <v>14</v>
      </c>
      <c r="C356" s="25">
        <v>57662</v>
      </c>
      <c r="D356" s="25">
        <v>34362</v>
      </c>
      <c r="E356" s="25">
        <v>92024</v>
      </c>
      <c r="F356" s="15">
        <v>98</v>
      </c>
      <c r="G356" s="15">
        <v>41</v>
      </c>
      <c r="H356" s="15">
        <v>139</v>
      </c>
      <c r="I356" s="16"/>
      <c r="J356" s="27">
        <f t="shared" si="44"/>
        <v>57345</v>
      </c>
      <c r="K356" s="27">
        <f t="shared" si="44"/>
        <v>-27122</v>
      </c>
      <c r="L356" s="27">
        <f t="shared" si="44"/>
        <v>30223</v>
      </c>
      <c r="M356" s="28">
        <f t="shared" si="45"/>
        <v>0.48903739421692205</v>
      </c>
      <c r="O356" s="35"/>
      <c r="P356" s="35"/>
      <c r="Q356" s="35"/>
      <c r="R356" s="35"/>
      <c r="S356" s="35"/>
    </row>
    <row r="357" spans="1:19" x14ac:dyDescent="0.3">
      <c r="A357" s="531"/>
      <c r="B357" s="50" t="s">
        <v>15</v>
      </c>
      <c r="C357" s="25">
        <v>27428</v>
      </c>
      <c r="D357" s="25">
        <v>110186</v>
      </c>
      <c r="E357" s="25">
        <v>137614</v>
      </c>
      <c r="F357" s="15">
        <v>529</v>
      </c>
      <c r="G357" s="15">
        <v>763</v>
      </c>
      <c r="H357" s="25">
        <v>1292</v>
      </c>
      <c r="I357" s="16"/>
      <c r="J357" s="27">
        <f t="shared" si="44"/>
        <v>22080</v>
      </c>
      <c r="K357" s="27">
        <f t="shared" si="44"/>
        <v>568</v>
      </c>
      <c r="L357" s="27">
        <f t="shared" si="44"/>
        <v>22648</v>
      </c>
      <c r="M357" s="28">
        <f t="shared" si="45"/>
        <v>0.19699737313640556</v>
      </c>
      <c r="O357" s="35"/>
      <c r="P357" s="35"/>
      <c r="Q357" s="35"/>
      <c r="R357" s="35"/>
      <c r="S357" s="35"/>
    </row>
    <row r="358" spans="1:19" x14ac:dyDescent="0.3">
      <c r="A358" s="531"/>
      <c r="B358" s="51" t="s">
        <v>17</v>
      </c>
      <c r="C358" s="22">
        <v>288755</v>
      </c>
      <c r="D358" s="22">
        <v>558362</v>
      </c>
      <c r="E358" s="22">
        <v>847117</v>
      </c>
      <c r="F358" s="22">
        <v>1808</v>
      </c>
      <c r="G358" s="22">
        <v>1834</v>
      </c>
      <c r="H358" s="22">
        <v>3642</v>
      </c>
      <c r="I358" s="23"/>
      <c r="J358" s="29">
        <f t="shared" si="44"/>
        <v>242544</v>
      </c>
      <c r="K358" s="29">
        <f t="shared" si="44"/>
        <v>-34003</v>
      </c>
      <c r="L358" s="29">
        <f t="shared" si="44"/>
        <v>208541</v>
      </c>
      <c r="M358" s="30">
        <f t="shared" si="45"/>
        <v>0.32657193505549847</v>
      </c>
      <c r="O358" s="35"/>
      <c r="P358" s="35"/>
      <c r="Q358" s="35"/>
      <c r="R358" s="35"/>
      <c r="S358" s="35"/>
    </row>
    <row r="359" spans="1:19" x14ac:dyDescent="0.3">
      <c r="A359" s="531"/>
      <c r="B359" s="50" t="s">
        <v>2</v>
      </c>
      <c r="C359" s="25">
        <v>83926</v>
      </c>
      <c r="D359" s="25">
        <v>26770</v>
      </c>
      <c r="E359" s="25">
        <v>110696</v>
      </c>
      <c r="F359" s="15">
        <v>18</v>
      </c>
      <c r="G359" s="15">
        <v>24</v>
      </c>
      <c r="H359" s="15">
        <v>42</v>
      </c>
      <c r="I359" s="16"/>
      <c r="J359" s="27">
        <f t="shared" si="44"/>
        <v>746</v>
      </c>
      <c r="K359" s="27">
        <f t="shared" si="44"/>
        <v>9939</v>
      </c>
      <c r="L359" s="27">
        <f t="shared" si="44"/>
        <v>10685</v>
      </c>
      <c r="M359" s="28">
        <f t="shared" si="45"/>
        <v>0.1068382477927428</v>
      </c>
      <c r="O359" s="35"/>
      <c r="P359" s="35"/>
    </row>
    <row r="360" spans="1:19" x14ac:dyDescent="0.3">
      <c r="A360" s="531"/>
      <c r="B360" s="50" t="s">
        <v>18</v>
      </c>
      <c r="C360" s="25">
        <v>0</v>
      </c>
      <c r="D360" s="25">
        <v>27232</v>
      </c>
      <c r="E360" s="25">
        <v>27232</v>
      </c>
      <c r="F360" s="15">
        <v>0</v>
      </c>
      <c r="G360" s="15">
        <v>47</v>
      </c>
      <c r="H360" s="15">
        <v>47</v>
      </c>
      <c r="I360" s="16"/>
      <c r="J360" s="27">
        <f t="shared" si="44"/>
        <v>-2468</v>
      </c>
      <c r="K360" s="27">
        <f t="shared" si="44"/>
        <v>1837</v>
      </c>
      <c r="L360" s="27">
        <f t="shared" si="44"/>
        <v>-631</v>
      </c>
      <c r="M360" s="28">
        <f t="shared" si="45"/>
        <v>-2.264652047518214E-2</v>
      </c>
      <c r="O360" s="35"/>
      <c r="P360" s="35"/>
    </row>
    <row r="361" spans="1:19" x14ac:dyDescent="0.3">
      <c r="A361" s="531"/>
      <c r="B361" s="51" t="s">
        <v>9</v>
      </c>
      <c r="C361" s="22">
        <v>372681</v>
      </c>
      <c r="D361" s="22">
        <v>612364</v>
      </c>
      <c r="E361" s="22">
        <v>985045</v>
      </c>
      <c r="F361" s="22">
        <v>1826</v>
      </c>
      <c r="G361" s="22">
        <v>1905</v>
      </c>
      <c r="H361" s="22">
        <v>3731</v>
      </c>
      <c r="I361" s="23"/>
      <c r="J361" s="33">
        <f t="shared" si="44"/>
        <v>240822</v>
      </c>
      <c r="K361" s="33">
        <f t="shared" si="44"/>
        <v>-22227</v>
      </c>
      <c r="L361" s="33">
        <f t="shared" si="44"/>
        <v>218595</v>
      </c>
      <c r="M361" s="34">
        <f t="shared" si="45"/>
        <v>0.28520451431926414</v>
      </c>
      <c r="O361" s="35"/>
      <c r="P361" s="35"/>
    </row>
    <row r="363" spans="1:19" x14ac:dyDescent="0.3">
      <c r="C363" s="35"/>
      <c r="D363" s="35"/>
      <c r="E363" s="35"/>
      <c r="F363" s="35"/>
      <c r="G363" s="35"/>
      <c r="H363" s="35"/>
    </row>
    <row r="364" spans="1:19" x14ac:dyDescent="0.3">
      <c r="C364" s="35"/>
      <c r="D364" s="35"/>
      <c r="E364" s="35"/>
      <c r="F364" s="35"/>
      <c r="G364" s="35"/>
      <c r="H364" s="35"/>
    </row>
    <row r="365" spans="1:19" x14ac:dyDescent="0.3">
      <c r="B365" s="528" t="s">
        <v>4</v>
      </c>
      <c r="C365" s="45" t="s">
        <v>5</v>
      </c>
      <c r="D365" s="46"/>
      <c r="E365" s="47"/>
      <c r="F365" s="532" t="s">
        <v>6</v>
      </c>
      <c r="G365" s="532"/>
      <c r="H365" s="532"/>
      <c r="I365" s="8"/>
      <c r="J365" s="8"/>
      <c r="L365" s="524" t="s">
        <v>10</v>
      </c>
      <c r="M365" s="525"/>
    </row>
    <row r="366" spans="1:19" x14ac:dyDescent="0.3">
      <c r="B366" s="529"/>
      <c r="C366" s="6" t="s">
        <v>7</v>
      </c>
      <c r="D366" s="6" t="s">
        <v>8</v>
      </c>
      <c r="E366" s="6" t="s">
        <v>9</v>
      </c>
      <c r="F366" s="7" t="s">
        <v>7</v>
      </c>
      <c r="G366" s="7" t="s">
        <v>8</v>
      </c>
      <c r="H366" s="7" t="s">
        <v>9</v>
      </c>
      <c r="I366" s="8"/>
      <c r="J366" s="6" t="s">
        <v>19</v>
      </c>
      <c r="K366" s="6" t="s">
        <v>20</v>
      </c>
      <c r="L366" s="526"/>
      <c r="M366" s="527"/>
    </row>
    <row r="367" spans="1:19" x14ac:dyDescent="0.3">
      <c r="A367" s="530">
        <v>39994</v>
      </c>
      <c r="B367" s="9" t="s">
        <v>11</v>
      </c>
      <c r="C367" s="48"/>
      <c r="D367" s="48"/>
      <c r="E367" s="48"/>
      <c r="F367" s="49"/>
      <c r="G367" s="49"/>
      <c r="H367" s="49"/>
      <c r="I367" s="12"/>
      <c r="J367" s="24"/>
      <c r="K367" s="24"/>
      <c r="L367" s="24"/>
      <c r="M367" s="24"/>
    </row>
    <row r="368" spans="1:19" x14ac:dyDescent="0.3">
      <c r="A368" s="531"/>
      <c r="B368" s="50" t="s">
        <v>12</v>
      </c>
      <c r="C368" s="25">
        <v>70870</v>
      </c>
      <c r="D368" s="25">
        <v>362679</v>
      </c>
      <c r="E368" s="25">
        <v>433549</v>
      </c>
      <c r="F368" s="25">
        <v>799</v>
      </c>
      <c r="G368" s="15">
        <v>993</v>
      </c>
      <c r="H368" s="25">
        <v>1792</v>
      </c>
      <c r="I368" s="16"/>
      <c r="J368" s="27">
        <f t="shared" ref="J368:L375" si="46">C368-C354</f>
        <v>-12674</v>
      </c>
      <c r="K368" s="27">
        <f t="shared" si="46"/>
        <v>27027</v>
      </c>
      <c r="L368" s="27">
        <f t="shared" si="46"/>
        <v>14353</v>
      </c>
      <c r="M368" s="28">
        <f t="shared" ref="M368:M375" si="47">L368/E354</f>
        <v>3.4239353428944935E-2</v>
      </c>
      <c r="O368" s="35"/>
      <c r="P368" s="35"/>
    </row>
    <row r="369" spans="1:19" x14ac:dyDescent="0.3">
      <c r="A369" s="531"/>
      <c r="B369" s="50" t="s">
        <v>13</v>
      </c>
      <c r="C369" s="25">
        <v>35355</v>
      </c>
      <c r="D369" s="25">
        <v>117107</v>
      </c>
      <c r="E369" s="25">
        <v>152462</v>
      </c>
      <c r="F369" s="15">
        <v>116</v>
      </c>
      <c r="G369" s="15">
        <v>175</v>
      </c>
      <c r="H369" s="25">
        <v>291</v>
      </c>
      <c r="I369" s="16"/>
      <c r="J369" s="27">
        <f t="shared" si="46"/>
        <v>-84766</v>
      </c>
      <c r="K369" s="27">
        <f t="shared" si="46"/>
        <v>38945</v>
      </c>
      <c r="L369" s="27">
        <f t="shared" si="46"/>
        <v>-45821</v>
      </c>
      <c r="M369" s="28">
        <f t="shared" si="47"/>
        <v>-0.23108889819096948</v>
      </c>
      <c r="O369" s="35"/>
      <c r="P369" s="35"/>
    </row>
    <row r="370" spans="1:19" x14ac:dyDescent="0.3">
      <c r="A370" s="531"/>
      <c r="B370" s="50" t="s">
        <v>14</v>
      </c>
      <c r="C370" s="25">
        <v>9960</v>
      </c>
      <c r="D370" s="25">
        <v>42189</v>
      </c>
      <c r="E370" s="25">
        <v>52149</v>
      </c>
      <c r="F370" s="15">
        <v>51</v>
      </c>
      <c r="G370" s="15">
        <v>70</v>
      </c>
      <c r="H370" s="15">
        <v>121</v>
      </c>
      <c r="I370" s="16"/>
      <c r="J370" s="27">
        <f t="shared" si="46"/>
        <v>-47702</v>
      </c>
      <c r="K370" s="27">
        <f t="shared" si="46"/>
        <v>7827</v>
      </c>
      <c r="L370" s="27">
        <f t="shared" si="46"/>
        <v>-39875</v>
      </c>
      <c r="M370" s="28">
        <f t="shared" si="47"/>
        <v>-0.43331087542380248</v>
      </c>
      <c r="O370" s="35"/>
      <c r="P370" s="35"/>
    </row>
    <row r="371" spans="1:19" x14ac:dyDescent="0.3">
      <c r="A371" s="531"/>
      <c r="B371" s="50" t="s">
        <v>15</v>
      </c>
      <c r="C371" s="25">
        <v>19999</v>
      </c>
      <c r="D371" s="25">
        <v>132847</v>
      </c>
      <c r="E371" s="25">
        <v>152846</v>
      </c>
      <c r="F371" s="15">
        <v>347</v>
      </c>
      <c r="G371" s="15">
        <v>851</v>
      </c>
      <c r="H371" s="25">
        <v>1198</v>
      </c>
      <c r="I371" s="16"/>
      <c r="J371" s="27">
        <f t="shared" si="46"/>
        <v>-7429</v>
      </c>
      <c r="K371" s="27">
        <f t="shared" si="46"/>
        <v>22661</v>
      </c>
      <c r="L371" s="27">
        <f t="shared" si="46"/>
        <v>15232</v>
      </c>
      <c r="M371" s="28">
        <f t="shared" si="47"/>
        <v>0.11068641271963608</v>
      </c>
      <c r="O371" s="35"/>
      <c r="P371" s="35"/>
    </row>
    <row r="372" spans="1:19" x14ac:dyDescent="0.3">
      <c r="A372" s="531"/>
      <c r="B372" s="51" t="s">
        <v>17</v>
      </c>
      <c r="C372" s="22">
        <v>136184</v>
      </c>
      <c r="D372" s="22">
        <v>654822</v>
      </c>
      <c r="E372" s="22">
        <v>791006</v>
      </c>
      <c r="F372" s="22">
        <v>1313</v>
      </c>
      <c r="G372" s="22">
        <v>2089</v>
      </c>
      <c r="H372" s="22">
        <v>3402</v>
      </c>
      <c r="I372" s="23"/>
      <c r="J372" s="29">
        <f t="shared" si="46"/>
        <v>-152571</v>
      </c>
      <c r="K372" s="29">
        <f t="shared" si="46"/>
        <v>96460</v>
      </c>
      <c r="L372" s="29">
        <f t="shared" si="46"/>
        <v>-56111</v>
      </c>
      <c r="M372" s="30">
        <f t="shared" si="47"/>
        <v>-6.6237603542367823E-2</v>
      </c>
      <c r="O372" s="35"/>
      <c r="P372" s="35"/>
    </row>
    <row r="373" spans="1:19" x14ac:dyDescent="0.3">
      <c r="A373" s="531"/>
      <c r="B373" s="50" t="s">
        <v>2</v>
      </c>
      <c r="C373" s="25">
        <v>11148</v>
      </c>
      <c r="D373" s="25">
        <v>28558</v>
      </c>
      <c r="E373" s="25">
        <v>39706</v>
      </c>
      <c r="F373" s="15">
        <v>13</v>
      </c>
      <c r="G373" s="15">
        <v>23</v>
      </c>
      <c r="H373" s="15">
        <v>36</v>
      </c>
      <c r="I373" s="16"/>
      <c r="J373" s="27">
        <f t="shared" si="46"/>
        <v>-72778</v>
      </c>
      <c r="K373" s="27">
        <f t="shared" si="46"/>
        <v>1788</v>
      </c>
      <c r="L373" s="27">
        <f t="shared" si="46"/>
        <v>-70990</v>
      </c>
      <c r="M373" s="28">
        <f t="shared" si="47"/>
        <v>-0.64130591891305921</v>
      </c>
      <c r="O373" s="35"/>
      <c r="P373" s="35"/>
    </row>
    <row r="374" spans="1:19" x14ac:dyDescent="0.3">
      <c r="A374" s="531"/>
      <c r="B374" s="50" t="s">
        <v>18</v>
      </c>
      <c r="C374" s="25">
        <v>0</v>
      </c>
      <c r="D374" s="25">
        <v>26594</v>
      </c>
      <c r="E374" s="25">
        <v>26594</v>
      </c>
      <c r="F374" s="15" t="s">
        <v>22</v>
      </c>
      <c r="G374" s="15">
        <v>41</v>
      </c>
      <c r="H374" s="15">
        <v>41</v>
      </c>
      <c r="I374" s="16"/>
      <c r="J374" s="27">
        <f t="shared" si="46"/>
        <v>0</v>
      </c>
      <c r="K374" s="27">
        <f t="shared" si="46"/>
        <v>-638</v>
      </c>
      <c r="L374" s="27">
        <f t="shared" si="46"/>
        <v>-638</v>
      </c>
      <c r="M374" s="28">
        <f t="shared" si="47"/>
        <v>-2.3428319623971797E-2</v>
      </c>
      <c r="O374" s="35"/>
      <c r="P374" s="35"/>
    </row>
    <row r="375" spans="1:19" x14ac:dyDescent="0.3">
      <c r="A375" s="531"/>
      <c r="B375" s="51" t="s">
        <v>9</v>
      </c>
      <c r="C375" s="22">
        <v>147332</v>
      </c>
      <c r="D375" s="22">
        <v>709974</v>
      </c>
      <c r="E375" s="22">
        <v>857306</v>
      </c>
      <c r="F375" s="22">
        <v>1326</v>
      </c>
      <c r="G375" s="22">
        <v>2153</v>
      </c>
      <c r="H375" s="22">
        <v>3479</v>
      </c>
      <c r="I375" s="23"/>
      <c r="J375" s="33">
        <f t="shared" si="46"/>
        <v>-225349</v>
      </c>
      <c r="K375" s="33">
        <f t="shared" si="46"/>
        <v>97610</v>
      </c>
      <c r="L375" s="33">
        <f t="shared" si="46"/>
        <v>-127739</v>
      </c>
      <c r="M375" s="34">
        <f t="shared" si="47"/>
        <v>-0.12967833956824307</v>
      </c>
      <c r="O375" s="35"/>
      <c r="P375" s="35"/>
    </row>
    <row r="377" spans="1:19" x14ac:dyDescent="0.3">
      <c r="C377" s="35"/>
      <c r="D377" s="35"/>
      <c r="E377" s="35"/>
      <c r="F377" s="35"/>
      <c r="G377" s="35"/>
      <c r="H377" s="35"/>
    </row>
    <row r="378" spans="1:19" x14ac:dyDescent="0.3">
      <c r="C378" s="35"/>
      <c r="D378" s="35"/>
      <c r="E378" s="35"/>
      <c r="F378" s="35"/>
      <c r="G378" s="35"/>
      <c r="H378" s="35"/>
    </row>
    <row r="379" spans="1:19" x14ac:dyDescent="0.3">
      <c r="B379" s="528" t="s">
        <v>4</v>
      </c>
      <c r="C379" s="45" t="s">
        <v>5</v>
      </c>
      <c r="D379" s="46"/>
      <c r="E379" s="47"/>
      <c r="F379" s="532" t="s">
        <v>6</v>
      </c>
      <c r="G379" s="532"/>
      <c r="H379" s="532"/>
      <c r="I379" s="8"/>
      <c r="J379" s="8"/>
      <c r="L379" s="524" t="s">
        <v>10</v>
      </c>
      <c r="M379" s="525"/>
    </row>
    <row r="380" spans="1:19" x14ac:dyDescent="0.3">
      <c r="B380" s="529"/>
      <c r="C380" s="6" t="s">
        <v>7</v>
      </c>
      <c r="D380" s="6" t="s">
        <v>8</v>
      </c>
      <c r="E380" s="6" t="s">
        <v>9</v>
      </c>
      <c r="F380" s="7" t="s">
        <v>7</v>
      </c>
      <c r="G380" s="7" t="s">
        <v>8</v>
      </c>
      <c r="H380" s="7" t="s">
        <v>9</v>
      </c>
      <c r="I380" s="8"/>
      <c r="J380" s="6" t="s">
        <v>19</v>
      </c>
      <c r="K380" s="6" t="s">
        <v>20</v>
      </c>
      <c r="L380" s="526"/>
      <c r="M380" s="527"/>
    </row>
    <row r="381" spans="1:19" x14ac:dyDescent="0.3">
      <c r="A381" s="530">
        <v>40025</v>
      </c>
      <c r="B381" s="9" t="s">
        <v>11</v>
      </c>
      <c r="C381" s="48"/>
      <c r="D381" s="48"/>
      <c r="E381" s="48"/>
      <c r="F381" s="49"/>
      <c r="G381" s="49"/>
      <c r="H381" s="49"/>
      <c r="I381" s="12"/>
      <c r="J381" s="24"/>
      <c r="K381" s="24"/>
      <c r="L381" s="24"/>
      <c r="M381" s="24"/>
    </row>
    <row r="382" spans="1:19" x14ac:dyDescent="0.3">
      <c r="A382" s="531"/>
      <c r="B382" s="50" t="s">
        <v>12</v>
      </c>
      <c r="C382" s="25">
        <v>46250</v>
      </c>
      <c r="D382" s="25">
        <v>359864</v>
      </c>
      <c r="E382" s="25">
        <v>406114</v>
      </c>
      <c r="F382" s="25">
        <v>415</v>
      </c>
      <c r="G382" s="15">
        <v>863</v>
      </c>
      <c r="H382" s="25">
        <v>1278</v>
      </c>
      <c r="I382" s="16"/>
      <c r="J382" s="27">
        <f t="shared" ref="J382:L389" si="48">C382-C368</f>
        <v>-24620</v>
      </c>
      <c r="K382" s="27">
        <f t="shared" si="48"/>
        <v>-2815</v>
      </c>
      <c r="L382" s="27">
        <f t="shared" si="48"/>
        <v>-27435</v>
      </c>
      <c r="M382" s="28">
        <f t="shared" ref="M382:M389" si="49">L382/E368</f>
        <v>-6.3280044470175226E-2</v>
      </c>
      <c r="O382" s="35"/>
      <c r="P382" s="35"/>
    </row>
    <row r="383" spans="1:19" x14ac:dyDescent="0.3">
      <c r="A383" s="531"/>
      <c r="B383" s="50" t="s">
        <v>13</v>
      </c>
      <c r="C383" s="25">
        <v>18153</v>
      </c>
      <c r="D383" s="25">
        <v>86237</v>
      </c>
      <c r="E383" s="25">
        <v>104390</v>
      </c>
      <c r="F383" s="15">
        <v>51</v>
      </c>
      <c r="G383" s="15">
        <v>151</v>
      </c>
      <c r="H383" s="25">
        <v>202</v>
      </c>
      <c r="I383" s="16"/>
      <c r="J383" s="27">
        <f t="shared" si="48"/>
        <v>-17202</v>
      </c>
      <c r="K383" s="27">
        <f t="shared" si="48"/>
        <v>-30870</v>
      </c>
      <c r="L383" s="27">
        <f t="shared" si="48"/>
        <v>-48072</v>
      </c>
      <c r="M383" s="28">
        <f t="shared" si="49"/>
        <v>-0.31530479726095684</v>
      </c>
      <c r="O383" s="35"/>
      <c r="P383" s="35"/>
      <c r="R383" s="35"/>
      <c r="S383" s="35"/>
    </row>
    <row r="384" spans="1:19" x14ac:dyDescent="0.3">
      <c r="A384" s="531"/>
      <c r="B384" s="50" t="s">
        <v>14</v>
      </c>
      <c r="C384" s="25">
        <v>2385</v>
      </c>
      <c r="D384" s="25">
        <v>40565</v>
      </c>
      <c r="E384" s="25">
        <v>42950</v>
      </c>
      <c r="F384" s="15">
        <v>8</v>
      </c>
      <c r="G384" s="15">
        <v>55</v>
      </c>
      <c r="H384" s="15">
        <v>63</v>
      </c>
      <c r="I384" s="16"/>
      <c r="J384" s="27">
        <f t="shared" si="48"/>
        <v>-7575</v>
      </c>
      <c r="K384" s="27">
        <f t="shared" si="48"/>
        <v>-1624</v>
      </c>
      <c r="L384" s="27">
        <f t="shared" si="48"/>
        <v>-9199</v>
      </c>
      <c r="M384" s="28">
        <f t="shared" si="49"/>
        <v>-0.17639839690118697</v>
      </c>
      <c r="O384" s="35"/>
      <c r="P384" s="35"/>
      <c r="R384" s="35"/>
      <c r="S384" s="35"/>
    </row>
    <row r="385" spans="1:19" x14ac:dyDescent="0.3">
      <c r="A385" s="531"/>
      <c r="B385" s="50" t="s">
        <v>15</v>
      </c>
      <c r="C385" s="25">
        <v>12331</v>
      </c>
      <c r="D385" s="25">
        <v>139325</v>
      </c>
      <c r="E385" s="25">
        <v>151656</v>
      </c>
      <c r="F385" s="15">
        <v>220</v>
      </c>
      <c r="G385" s="15">
        <v>766</v>
      </c>
      <c r="H385" s="25">
        <v>986</v>
      </c>
      <c r="I385" s="16"/>
      <c r="J385" s="27">
        <f t="shared" si="48"/>
        <v>-7668</v>
      </c>
      <c r="K385" s="27">
        <f t="shared" si="48"/>
        <v>6478</v>
      </c>
      <c r="L385" s="27">
        <f t="shared" si="48"/>
        <v>-1190</v>
      </c>
      <c r="M385" s="28">
        <f t="shared" si="49"/>
        <v>-7.7856142784240344E-3</v>
      </c>
      <c r="O385" s="35"/>
      <c r="P385" s="35"/>
      <c r="R385" s="35"/>
      <c r="S385" s="35"/>
    </row>
    <row r="386" spans="1:19" x14ac:dyDescent="0.3">
      <c r="A386" s="531"/>
      <c r="B386" s="51" t="s">
        <v>17</v>
      </c>
      <c r="C386" s="22">
        <v>79119</v>
      </c>
      <c r="D386" s="22">
        <v>625991</v>
      </c>
      <c r="E386" s="22">
        <v>705110</v>
      </c>
      <c r="F386" s="22">
        <v>694</v>
      </c>
      <c r="G386" s="22">
        <v>1835</v>
      </c>
      <c r="H386" s="22">
        <v>2529</v>
      </c>
      <c r="I386" s="23"/>
      <c r="J386" s="29">
        <f t="shared" si="48"/>
        <v>-57065</v>
      </c>
      <c r="K386" s="29">
        <f t="shared" si="48"/>
        <v>-28831</v>
      </c>
      <c r="L386" s="29">
        <f t="shared" si="48"/>
        <v>-85896</v>
      </c>
      <c r="M386" s="30">
        <f t="shared" si="49"/>
        <v>-0.10859083243363514</v>
      </c>
      <c r="O386" s="35"/>
      <c r="P386" s="35"/>
      <c r="R386" s="35"/>
      <c r="S386" s="35"/>
    </row>
    <row r="387" spans="1:19" x14ac:dyDescent="0.3">
      <c r="A387" s="531"/>
      <c r="B387" s="50" t="s">
        <v>2</v>
      </c>
      <c r="C387" s="25">
        <v>27569</v>
      </c>
      <c r="D387" s="25">
        <v>13810</v>
      </c>
      <c r="E387" s="25">
        <v>41379</v>
      </c>
      <c r="F387" s="15">
        <v>20</v>
      </c>
      <c r="G387" s="15">
        <v>19</v>
      </c>
      <c r="H387" s="15">
        <v>39</v>
      </c>
      <c r="I387" s="16"/>
      <c r="J387" s="27">
        <f t="shared" si="48"/>
        <v>16421</v>
      </c>
      <c r="K387" s="27">
        <f t="shared" si="48"/>
        <v>-14748</v>
      </c>
      <c r="L387" s="27">
        <f t="shared" si="48"/>
        <v>1673</v>
      </c>
      <c r="M387" s="28">
        <f t="shared" si="49"/>
        <v>4.2134689971288976E-2</v>
      </c>
      <c r="O387" s="35"/>
      <c r="P387" s="35"/>
    </row>
    <row r="388" spans="1:19" x14ac:dyDescent="0.3">
      <c r="A388" s="531"/>
      <c r="B388" s="50" t="s">
        <v>18</v>
      </c>
      <c r="C388" s="25">
        <v>2080</v>
      </c>
      <c r="D388" s="25">
        <v>25985</v>
      </c>
      <c r="E388" s="25">
        <v>28065</v>
      </c>
      <c r="F388" s="15">
        <v>28</v>
      </c>
      <c r="G388" s="15">
        <v>39</v>
      </c>
      <c r="H388" s="15">
        <v>67</v>
      </c>
      <c r="I388" s="16"/>
      <c r="J388" s="27">
        <f t="shared" si="48"/>
        <v>2080</v>
      </c>
      <c r="K388" s="27">
        <f t="shared" si="48"/>
        <v>-609</v>
      </c>
      <c r="L388" s="27">
        <f t="shared" si="48"/>
        <v>1471</v>
      </c>
      <c r="M388" s="28">
        <f t="shared" si="49"/>
        <v>5.5313228547792734E-2</v>
      </c>
      <c r="O388" s="35"/>
      <c r="P388" s="35"/>
    </row>
    <row r="389" spans="1:19" x14ac:dyDescent="0.3">
      <c r="A389" s="531"/>
      <c r="B389" s="51" t="s">
        <v>9</v>
      </c>
      <c r="C389" s="22">
        <v>108768</v>
      </c>
      <c r="D389" s="22">
        <v>665786</v>
      </c>
      <c r="E389" s="22">
        <v>774554</v>
      </c>
      <c r="F389" s="22">
        <v>742</v>
      </c>
      <c r="G389" s="22">
        <v>1893</v>
      </c>
      <c r="H389" s="22">
        <v>2635</v>
      </c>
      <c r="I389" s="23"/>
      <c r="J389" s="33">
        <f t="shared" si="48"/>
        <v>-38564</v>
      </c>
      <c r="K389" s="33">
        <f t="shared" si="48"/>
        <v>-44188</v>
      </c>
      <c r="L389" s="33">
        <f t="shared" si="48"/>
        <v>-82752</v>
      </c>
      <c r="M389" s="34">
        <f t="shared" si="49"/>
        <v>-9.6525627955479143E-2</v>
      </c>
      <c r="O389" s="35"/>
      <c r="P389" s="35"/>
    </row>
    <row r="391" spans="1:19" x14ac:dyDescent="0.3">
      <c r="C391" s="35"/>
      <c r="D391" s="35"/>
      <c r="E391" s="35"/>
      <c r="F391" s="35"/>
      <c r="G391" s="35"/>
      <c r="H391" s="35"/>
    </row>
    <row r="392" spans="1:19" x14ac:dyDescent="0.3">
      <c r="C392" s="35"/>
      <c r="D392" s="35"/>
      <c r="E392" s="35"/>
      <c r="F392" s="35"/>
      <c r="G392" s="35"/>
      <c r="H392" s="35"/>
    </row>
    <row r="393" spans="1:19" x14ac:dyDescent="0.3">
      <c r="B393" s="528" t="s">
        <v>4</v>
      </c>
      <c r="C393" s="45" t="s">
        <v>5</v>
      </c>
      <c r="D393" s="46"/>
      <c r="E393" s="47"/>
      <c r="F393" s="532" t="s">
        <v>6</v>
      </c>
      <c r="G393" s="532"/>
      <c r="H393" s="532"/>
      <c r="I393" s="8"/>
      <c r="J393" s="8"/>
      <c r="L393" s="524" t="s">
        <v>10</v>
      </c>
      <c r="M393" s="525"/>
    </row>
    <row r="394" spans="1:19" x14ac:dyDescent="0.3">
      <c r="B394" s="529"/>
      <c r="C394" s="6" t="s">
        <v>7</v>
      </c>
      <c r="D394" s="6" t="s">
        <v>8</v>
      </c>
      <c r="E394" s="6" t="s">
        <v>9</v>
      </c>
      <c r="F394" s="7" t="s">
        <v>7</v>
      </c>
      <c r="G394" s="7" t="s">
        <v>8</v>
      </c>
      <c r="H394" s="7" t="s">
        <v>9</v>
      </c>
      <c r="I394" s="8"/>
      <c r="J394" s="6" t="s">
        <v>19</v>
      </c>
      <c r="K394" s="6" t="s">
        <v>20</v>
      </c>
      <c r="L394" s="526"/>
      <c r="M394" s="527"/>
    </row>
    <row r="395" spans="1:19" x14ac:dyDescent="0.3">
      <c r="A395" s="530">
        <v>40056</v>
      </c>
      <c r="B395" s="9" t="s">
        <v>11</v>
      </c>
      <c r="C395" s="48"/>
      <c r="D395" s="48"/>
      <c r="E395" s="48"/>
      <c r="F395" s="49"/>
      <c r="G395" s="49"/>
      <c r="H395" s="49"/>
      <c r="I395" s="12"/>
      <c r="J395" s="24"/>
      <c r="K395" s="24"/>
      <c r="L395" s="24"/>
      <c r="M395" s="24"/>
    </row>
    <row r="396" spans="1:19" x14ac:dyDescent="0.3">
      <c r="A396" s="531"/>
      <c r="B396" s="50" t="s">
        <v>12</v>
      </c>
      <c r="C396" s="25">
        <v>52970</v>
      </c>
      <c r="D396" s="25">
        <v>344685</v>
      </c>
      <c r="E396" s="25">
        <v>397655</v>
      </c>
      <c r="F396" s="25">
        <v>725</v>
      </c>
      <c r="G396" s="15">
        <v>853</v>
      </c>
      <c r="H396" s="25">
        <v>1578</v>
      </c>
      <c r="I396" s="16"/>
      <c r="J396" s="27">
        <f t="shared" ref="J396:L403" si="50">C396-C382</f>
        <v>6720</v>
      </c>
      <c r="K396" s="27">
        <f t="shared" si="50"/>
        <v>-15179</v>
      </c>
      <c r="L396" s="27">
        <f t="shared" si="50"/>
        <v>-8459</v>
      </c>
      <c r="M396" s="28">
        <f t="shared" ref="M396:M403" si="51">L396/E382</f>
        <v>-2.0829126796909243E-2</v>
      </c>
      <c r="O396" s="35"/>
      <c r="P396" s="35"/>
    </row>
    <row r="397" spans="1:19" x14ac:dyDescent="0.3">
      <c r="A397" s="531"/>
      <c r="B397" s="50" t="s">
        <v>13</v>
      </c>
      <c r="C397" s="25">
        <v>18146</v>
      </c>
      <c r="D397" s="25">
        <v>76668</v>
      </c>
      <c r="E397" s="25">
        <v>94814</v>
      </c>
      <c r="F397" s="15">
        <v>133</v>
      </c>
      <c r="G397" s="15">
        <v>162</v>
      </c>
      <c r="H397" s="25">
        <v>295</v>
      </c>
      <c r="I397" s="16"/>
      <c r="J397" s="27">
        <f t="shared" si="50"/>
        <v>-7</v>
      </c>
      <c r="K397" s="27">
        <f t="shared" si="50"/>
        <v>-9569</v>
      </c>
      <c r="L397" s="27">
        <f t="shared" si="50"/>
        <v>-9576</v>
      </c>
      <c r="M397" s="28">
        <f t="shared" si="51"/>
        <v>-9.1732924609636932E-2</v>
      </c>
      <c r="O397" s="35"/>
      <c r="P397" s="35"/>
    </row>
    <row r="398" spans="1:19" x14ac:dyDescent="0.3">
      <c r="A398" s="531"/>
      <c r="B398" s="50" t="s">
        <v>14</v>
      </c>
      <c r="C398" s="25">
        <v>20873</v>
      </c>
      <c r="D398" s="25">
        <v>41194</v>
      </c>
      <c r="E398" s="25">
        <v>62067</v>
      </c>
      <c r="F398" s="15">
        <v>85</v>
      </c>
      <c r="G398" s="15">
        <v>46</v>
      </c>
      <c r="H398" s="15">
        <v>131</v>
      </c>
      <c r="I398" s="16"/>
      <c r="J398" s="27">
        <f t="shared" si="50"/>
        <v>18488</v>
      </c>
      <c r="K398" s="27">
        <f t="shared" si="50"/>
        <v>629</v>
      </c>
      <c r="L398" s="27">
        <f t="shared" si="50"/>
        <v>19117</v>
      </c>
      <c r="M398" s="28">
        <f t="shared" si="51"/>
        <v>0.4450989522700815</v>
      </c>
      <c r="O398" s="35"/>
      <c r="P398" s="35"/>
    </row>
    <row r="399" spans="1:19" x14ac:dyDescent="0.3">
      <c r="A399" s="531"/>
      <c r="B399" s="50" t="s">
        <v>15</v>
      </c>
      <c r="C399" s="25">
        <v>20889</v>
      </c>
      <c r="D399" s="25">
        <v>132832</v>
      </c>
      <c r="E399" s="25">
        <v>153721</v>
      </c>
      <c r="F399" s="15">
        <v>372</v>
      </c>
      <c r="G399" s="15">
        <v>678</v>
      </c>
      <c r="H399" s="25">
        <v>1050</v>
      </c>
      <c r="I399" s="16"/>
      <c r="J399" s="27">
        <f t="shared" si="50"/>
        <v>8558</v>
      </c>
      <c r="K399" s="27">
        <f t="shared" si="50"/>
        <v>-6493</v>
      </c>
      <c r="L399" s="27">
        <f t="shared" si="50"/>
        <v>2065</v>
      </c>
      <c r="M399" s="28">
        <f t="shared" si="51"/>
        <v>1.361634224824603E-2</v>
      </c>
      <c r="O399" s="35"/>
      <c r="P399" s="35"/>
    </row>
    <row r="400" spans="1:19" x14ac:dyDescent="0.3">
      <c r="A400" s="531"/>
      <c r="B400" s="51" t="s">
        <v>17</v>
      </c>
      <c r="C400" s="22">
        <v>112878</v>
      </c>
      <c r="D400" s="22">
        <v>595379</v>
      </c>
      <c r="E400" s="22">
        <v>708257</v>
      </c>
      <c r="F400" s="22">
        <v>1315</v>
      </c>
      <c r="G400" s="22">
        <v>1739</v>
      </c>
      <c r="H400" s="22">
        <v>3054</v>
      </c>
      <c r="I400" s="23"/>
      <c r="J400" s="29">
        <f t="shared" si="50"/>
        <v>33759</v>
      </c>
      <c r="K400" s="29">
        <f t="shared" si="50"/>
        <v>-30612</v>
      </c>
      <c r="L400" s="29">
        <f t="shared" si="50"/>
        <v>3147</v>
      </c>
      <c r="M400" s="30">
        <f t="shared" si="51"/>
        <v>4.463133411808087E-3</v>
      </c>
      <c r="O400" s="35"/>
      <c r="P400" s="35"/>
    </row>
    <row r="401" spans="1:16" x14ac:dyDescent="0.3">
      <c r="A401" s="531"/>
      <c r="B401" s="50" t="s">
        <v>2</v>
      </c>
      <c r="C401" s="25">
        <v>1028</v>
      </c>
      <c r="D401" s="25">
        <v>32692</v>
      </c>
      <c r="E401" s="25">
        <v>33720</v>
      </c>
      <c r="F401" s="15">
        <v>7</v>
      </c>
      <c r="G401" s="15">
        <v>26</v>
      </c>
      <c r="H401" s="15">
        <v>33</v>
      </c>
      <c r="I401" s="16"/>
      <c r="J401" s="27">
        <f t="shared" si="50"/>
        <v>-26541</v>
      </c>
      <c r="K401" s="27">
        <f t="shared" si="50"/>
        <v>18882</v>
      </c>
      <c r="L401" s="27">
        <f t="shared" si="50"/>
        <v>-7659</v>
      </c>
      <c r="M401" s="28">
        <f t="shared" si="51"/>
        <v>-0.18509388820416153</v>
      </c>
      <c r="O401" s="35"/>
      <c r="P401" s="35"/>
    </row>
    <row r="402" spans="1:16" x14ac:dyDescent="0.3">
      <c r="A402" s="531"/>
      <c r="B402" s="50" t="s">
        <v>18</v>
      </c>
      <c r="C402" s="25">
        <v>0</v>
      </c>
      <c r="D402" s="25">
        <v>26950</v>
      </c>
      <c r="E402" s="25">
        <v>26950</v>
      </c>
      <c r="F402" s="15">
        <v>0</v>
      </c>
      <c r="G402" s="15">
        <v>42</v>
      </c>
      <c r="H402" s="15">
        <v>42</v>
      </c>
      <c r="I402" s="16"/>
      <c r="J402" s="27">
        <f t="shared" si="50"/>
        <v>-2080</v>
      </c>
      <c r="K402" s="27">
        <f t="shared" si="50"/>
        <v>965</v>
      </c>
      <c r="L402" s="27">
        <f t="shared" si="50"/>
        <v>-1115</v>
      </c>
      <c r="M402" s="28">
        <f t="shared" si="51"/>
        <v>-3.972920007126314E-2</v>
      </c>
      <c r="O402" s="35"/>
      <c r="P402" s="35"/>
    </row>
    <row r="403" spans="1:16" x14ac:dyDescent="0.3">
      <c r="A403" s="531"/>
      <c r="B403" s="51" t="s">
        <v>9</v>
      </c>
      <c r="C403" s="22">
        <v>113906</v>
      </c>
      <c r="D403" s="22">
        <v>655021</v>
      </c>
      <c r="E403" s="22">
        <v>768927</v>
      </c>
      <c r="F403" s="22">
        <v>1322</v>
      </c>
      <c r="G403" s="22">
        <v>1807</v>
      </c>
      <c r="H403" s="22">
        <v>3129</v>
      </c>
      <c r="I403" s="23"/>
      <c r="J403" s="33">
        <f t="shared" si="50"/>
        <v>5138</v>
      </c>
      <c r="K403" s="33">
        <f t="shared" si="50"/>
        <v>-10765</v>
      </c>
      <c r="L403" s="33">
        <f t="shared" si="50"/>
        <v>-5627</v>
      </c>
      <c r="M403" s="34">
        <f t="shared" si="51"/>
        <v>-7.2648259514507705E-3</v>
      </c>
      <c r="O403" s="35"/>
      <c r="P403" s="35"/>
    </row>
    <row r="405" spans="1:16" x14ac:dyDescent="0.3">
      <c r="C405" s="35"/>
      <c r="D405" s="35"/>
      <c r="E405" s="35"/>
      <c r="F405" s="35"/>
      <c r="G405" s="35"/>
      <c r="H405" s="35"/>
    </row>
    <row r="406" spans="1:16" x14ac:dyDescent="0.3">
      <c r="C406" s="35"/>
      <c r="D406" s="35"/>
      <c r="E406" s="35"/>
      <c r="F406" s="35"/>
      <c r="G406" s="35"/>
      <c r="H406" s="35"/>
    </row>
    <row r="407" spans="1:16" x14ac:dyDescent="0.3">
      <c r="B407" s="528" t="s">
        <v>4</v>
      </c>
      <c r="C407" s="45" t="s">
        <v>5</v>
      </c>
      <c r="D407" s="46"/>
      <c r="E407" s="47"/>
      <c r="F407" s="532" t="s">
        <v>6</v>
      </c>
      <c r="G407" s="532"/>
      <c r="H407" s="532"/>
      <c r="I407" s="8"/>
      <c r="J407" s="8"/>
      <c r="L407" s="524" t="s">
        <v>10</v>
      </c>
      <c r="M407" s="525"/>
    </row>
    <row r="408" spans="1:16" x14ac:dyDescent="0.3">
      <c r="B408" s="529"/>
      <c r="C408" s="6" t="s">
        <v>7</v>
      </c>
      <c r="D408" s="6" t="s">
        <v>8</v>
      </c>
      <c r="E408" s="6" t="s">
        <v>9</v>
      </c>
      <c r="F408" s="7" t="s">
        <v>7</v>
      </c>
      <c r="G408" s="7" t="s">
        <v>8</v>
      </c>
      <c r="H408" s="7" t="s">
        <v>9</v>
      </c>
      <c r="I408" s="8"/>
      <c r="J408" s="6" t="s">
        <v>19</v>
      </c>
      <c r="K408" s="6" t="s">
        <v>20</v>
      </c>
      <c r="L408" s="526"/>
      <c r="M408" s="527"/>
    </row>
    <row r="409" spans="1:16" x14ac:dyDescent="0.3">
      <c r="A409" s="530">
        <v>40086</v>
      </c>
      <c r="B409" s="9" t="s">
        <v>11</v>
      </c>
      <c r="C409" s="48"/>
      <c r="D409" s="48"/>
      <c r="E409" s="48"/>
      <c r="F409" s="49"/>
      <c r="G409" s="49"/>
      <c r="H409" s="49"/>
      <c r="I409" s="12"/>
      <c r="J409" s="24"/>
      <c r="K409" s="24"/>
      <c r="L409" s="24"/>
      <c r="M409" s="24"/>
    </row>
    <row r="410" spans="1:16" x14ac:dyDescent="0.3">
      <c r="A410" s="531"/>
      <c r="B410" s="50" t="s">
        <v>12</v>
      </c>
      <c r="C410" s="25">
        <v>49045</v>
      </c>
      <c r="D410" s="25">
        <v>358029</v>
      </c>
      <c r="E410" s="25">
        <v>407074</v>
      </c>
      <c r="F410" s="25">
        <v>523</v>
      </c>
      <c r="G410" s="15">
        <v>880</v>
      </c>
      <c r="H410" s="25">
        <v>1403</v>
      </c>
      <c r="I410" s="16"/>
      <c r="J410" s="27">
        <f t="shared" ref="J410:L417" si="52">C410-C396</f>
        <v>-3925</v>
      </c>
      <c r="K410" s="27">
        <f t="shared" si="52"/>
        <v>13344</v>
      </c>
      <c r="L410" s="27">
        <f t="shared" si="52"/>
        <v>9419</v>
      </c>
      <c r="M410" s="28">
        <f t="shared" ref="M410:M417" si="53">L410/E396</f>
        <v>2.3686361293080684E-2</v>
      </c>
      <c r="O410" s="35"/>
      <c r="P410" s="35"/>
    </row>
    <row r="411" spans="1:16" x14ac:dyDescent="0.3">
      <c r="A411" s="531"/>
      <c r="B411" s="50" t="s">
        <v>13</v>
      </c>
      <c r="C411" s="25">
        <v>14804</v>
      </c>
      <c r="D411" s="25">
        <v>78922</v>
      </c>
      <c r="E411" s="25">
        <v>93726</v>
      </c>
      <c r="F411" s="15">
        <v>116</v>
      </c>
      <c r="G411" s="15">
        <v>146</v>
      </c>
      <c r="H411" s="25">
        <v>262</v>
      </c>
      <c r="I411" s="16"/>
      <c r="J411" s="27">
        <f t="shared" si="52"/>
        <v>-3342</v>
      </c>
      <c r="K411" s="27">
        <f t="shared" si="52"/>
        <v>2254</v>
      </c>
      <c r="L411" s="27">
        <f t="shared" si="52"/>
        <v>-1088</v>
      </c>
      <c r="M411" s="28">
        <f t="shared" si="53"/>
        <v>-1.1475098614128714E-2</v>
      </c>
      <c r="O411" s="35"/>
      <c r="P411" s="35"/>
    </row>
    <row r="412" spans="1:16" x14ac:dyDescent="0.3">
      <c r="A412" s="531"/>
      <c r="B412" s="50" t="s">
        <v>14</v>
      </c>
      <c r="C412" s="25">
        <v>12037</v>
      </c>
      <c r="D412" s="25">
        <v>68358</v>
      </c>
      <c r="E412" s="25">
        <v>80395</v>
      </c>
      <c r="F412" s="15">
        <v>44</v>
      </c>
      <c r="G412" s="15">
        <v>67</v>
      </c>
      <c r="H412" s="15">
        <v>111</v>
      </c>
      <c r="I412" s="16"/>
      <c r="J412" s="27">
        <f t="shared" si="52"/>
        <v>-8836</v>
      </c>
      <c r="K412" s="27">
        <f t="shared" si="52"/>
        <v>27164</v>
      </c>
      <c r="L412" s="27">
        <f t="shared" si="52"/>
        <v>18328</v>
      </c>
      <c r="M412" s="28">
        <f t="shared" si="53"/>
        <v>0.29529379541463258</v>
      </c>
      <c r="O412" s="35"/>
      <c r="P412" s="35"/>
    </row>
    <row r="413" spans="1:16" x14ac:dyDescent="0.3">
      <c r="A413" s="531"/>
      <c r="B413" s="50" t="s">
        <v>15</v>
      </c>
      <c r="C413" s="25">
        <v>17777</v>
      </c>
      <c r="D413" s="25">
        <v>143831</v>
      </c>
      <c r="E413" s="25">
        <v>161608</v>
      </c>
      <c r="F413" s="15">
        <v>306</v>
      </c>
      <c r="G413" s="15">
        <v>721</v>
      </c>
      <c r="H413" s="25">
        <v>1027</v>
      </c>
      <c r="I413" s="16"/>
      <c r="J413" s="27">
        <f t="shared" si="52"/>
        <v>-3112</v>
      </c>
      <c r="K413" s="27">
        <f t="shared" si="52"/>
        <v>10999</v>
      </c>
      <c r="L413" s="27">
        <f t="shared" si="52"/>
        <v>7887</v>
      </c>
      <c r="M413" s="28">
        <f t="shared" si="53"/>
        <v>5.1307238438469696E-2</v>
      </c>
      <c r="O413" s="35"/>
      <c r="P413" s="35"/>
    </row>
    <row r="414" spans="1:16" x14ac:dyDescent="0.3">
      <c r="A414" s="531"/>
      <c r="B414" s="51" t="s">
        <v>17</v>
      </c>
      <c r="C414" s="22">
        <v>93663</v>
      </c>
      <c r="D414" s="22">
        <v>649140</v>
      </c>
      <c r="E414" s="22">
        <v>742803</v>
      </c>
      <c r="F414" s="22">
        <v>989</v>
      </c>
      <c r="G414" s="22">
        <v>1814</v>
      </c>
      <c r="H414" s="22">
        <v>2803</v>
      </c>
      <c r="I414" s="23"/>
      <c r="J414" s="29">
        <f t="shared" si="52"/>
        <v>-19215</v>
      </c>
      <c r="K414" s="29">
        <f t="shared" si="52"/>
        <v>53761</v>
      </c>
      <c r="L414" s="29">
        <f t="shared" si="52"/>
        <v>34546</v>
      </c>
      <c r="M414" s="30">
        <f t="shared" si="53"/>
        <v>4.8776079869312976E-2</v>
      </c>
      <c r="O414" s="35"/>
      <c r="P414" s="35"/>
    </row>
    <row r="415" spans="1:16" x14ac:dyDescent="0.3">
      <c r="A415" s="531"/>
      <c r="B415" s="50" t="s">
        <v>2</v>
      </c>
      <c r="C415" s="25">
        <v>2089</v>
      </c>
      <c r="D415" s="25">
        <v>19287</v>
      </c>
      <c r="E415" s="25">
        <v>21376</v>
      </c>
      <c r="F415" s="15">
        <v>4</v>
      </c>
      <c r="G415" s="15">
        <v>19</v>
      </c>
      <c r="H415" s="15">
        <v>23</v>
      </c>
      <c r="I415" s="16"/>
      <c r="J415" s="27">
        <f t="shared" si="52"/>
        <v>1061</v>
      </c>
      <c r="K415" s="27">
        <f t="shared" si="52"/>
        <v>-13405</v>
      </c>
      <c r="L415" s="27">
        <f t="shared" si="52"/>
        <v>-12344</v>
      </c>
      <c r="M415" s="28">
        <f t="shared" si="53"/>
        <v>-0.36607354685646498</v>
      </c>
      <c r="O415" s="35"/>
      <c r="P415" s="35"/>
    </row>
    <row r="416" spans="1:16" x14ac:dyDescent="0.3">
      <c r="A416" s="531"/>
      <c r="B416" s="50" t="s">
        <v>18</v>
      </c>
      <c r="C416" s="25">
        <v>0</v>
      </c>
      <c r="D416" s="25">
        <v>26115</v>
      </c>
      <c r="E416" s="25">
        <v>26115</v>
      </c>
      <c r="F416" s="15">
        <v>0</v>
      </c>
      <c r="G416" s="15">
        <v>37</v>
      </c>
      <c r="H416" s="15">
        <v>37</v>
      </c>
      <c r="I416" s="16"/>
      <c r="J416" s="27">
        <f t="shared" si="52"/>
        <v>0</v>
      </c>
      <c r="K416" s="27">
        <f t="shared" si="52"/>
        <v>-835</v>
      </c>
      <c r="L416" s="27">
        <f t="shared" si="52"/>
        <v>-835</v>
      </c>
      <c r="M416" s="28">
        <f t="shared" si="53"/>
        <v>-3.0983302411873841E-2</v>
      </c>
      <c r="O416" s="35"/>
      <c r="P416" s="35"/>
    </row>
    <row r="417" spans="1:16" x14ac:dyDescent="0.3">
      <c r="A417" s="531"/>
      <c r="B417" s="51" t="s">
        <v>9</v>
      </c>
      <c r="C417" s="22">
        <v>95752</v>
      </c>
      <c r="D417" s="22">
        <v>694542</v>
      </c>
      <c r="E417" s="22">
        <v>790294</v>
      </c>
      <c r="F417" s="22">
        <v>993</v>
      </c>
      <c r="G417" s="22">
        <v>1870</v>
      </c>
      <c r="H417" s="22">
        <v>2863</v>
      </c>
      <c r="I417" s="23"/>
      <c r="J417" s="33">
        <f t="shared" si="52"/>
        <v>-18154</v>
      </c>
      <c r="K417" s="33">
        <f t="shared" si="52"/>
        <v>39521</v>
      </c>
      <c r="L417" s="33">
        <f t="shared" si="52"/>
        <v>21367</v>
      </c>
      <c r="M417" s="34">
        <f t="shared" si="53"/>
        <v>2.7788073510229189E-2</v>
      </c>
      <c r="O417" s="35"/>
      <c r="P417" s="35"/>
    </row>
    <row r="419" spans="1:16" x14ac:dyDescent="0.3">
      <c r="C419" s="35"/>
      <c r="D419" s="35"/>
      <c r="E419" s="35"/>
      <c r="F419" s="35"/>
      <c r="G419" s="35"/>
      <c r="H419" s="35"/>
    </row>
    <row r="420" spans="1:16" x14ac:dyDescent="0.3">
      <c r="C420" s="35"/>
      <c r="D420" s="35"/>
      <c r="E420" s="35"/>
      <c r="F420" s="35"/>
      <c r="G420" s="35"/>
      <c r="H420" s="35"/>
    </row>
    <row r="421" spans="1:16" x14ac:dyDescent="0.3">
      <c r="B421" s="528" t="s">
        <v>4</v>
      </c>
      <c r="C421" s="45" t="s">
        <v>5</v>
      </c>
      <c r="D421" s="46"/>
      <c r="E421" s="47"/>
      <c r="F421" s="532" t="s">
        <v>6</v>
      </c>
      <c r="G421" s="532"/>
      <c r="H421" s="532"/>
      <c r="I421" s="8"/>
      <c r="J421" s="8"/>
      <c r="L421" s="524" t="s">
        <v>10</v>
      </c>
      <c r="M421" s="525"/>
    </row>
    <row r="422" spans="1:16" x14ac:dyDescent="0.3">
      <c r="B422" s="529"/>
      <c r="C422" s="6" t="s">
        <v>7</v>
      </c>
      <c r="D422" s="6" t="s">
        <v>8</v>
      </c>
      <c r="E422" s="6" t="s">
        <v>9</v>
      </c>
      <c r="F422" s="7" t="s">
        <v>7</v>
      </c>
      <c r="G422" s="7" t="s">
        <v>8</v>
      </c>
      <c r="H422" s="7" t="s">
        <v>9</v>
      </c>
      <c r="I422" s="8"/>
      <c r="J422" s="6" t="s">
        <v>19</v>
      </c>
      <c r="K422" s="6" t="s">
        <v>20</v>
      </c>
      <c r="L422" s="526"/>
      <c r="M422" s="527"/>
    </row>
    <row r="423" spans="1:16" x14ac:dyDescent="0.3">
      <c r="A423" s="530">
        <v>40117</v>
      </c>
      <c r="B423" s="9" t="s">
        <v>11</v>
      </c>
      <c r="C423" s="48"/>
      <c r="D423" s="48"/>
      <c r="E423" s="48"/>
      <c r="F423" s="49"/>
      <c r="G423" s="49"/>
      <c r="H423" s="49"/>
      <c r="I423" s="12"/>
      <c r="J423" s="24"/>
      <c r="K423" s="24"/>
      <c r="L423" s="24"/>
      <c r="M423" s="24"/>
    </row>
    <row r="424" spans="1:16" x14ac:dyDescent="0.3">
      <c r="A424" s="531"/>
      <c r="B424" s="50" t="s">
        <v>12</v>
      </c>
      <c r="C424" s="25">
        <v>43253</v>
      </c>
      <c r="D424" s="25">
        <v>364927</v>
      </c>
      <c r="E424" s="25">
        <v>408180</v>
      </c>
      <c r="F424" s="25">
        <v>545</v>
      </c>
      <c r="G424" s="15">
        <v>804</v>
      </c>
      <c r="H424" s="25">
        <v>1349</v>
      </c>
      <c r="I424" s="16"/>
      <c r="J424" s="27">
        <f t="shared" ref="J424:L431" si="54">C424-C410</f>
        <v>-5792</v>
      </c>
      <c r="K424" s="27">
        <f t="shared" si="54"/>
        <v>6898</v>
      </c>
      <c r="L424" s="27">
        <f t="shared" si="54"/>
        <v>1106</v>
      </c>
      <c r="M424" s="28">
        <f t="shared" ref="M424:M431" si="55">L424/E410</f>
        <v>2.7169507264035533E-3</v>
      </c>
      <c r="O424" s="35"/>
      <c r="P424" s="35"/>
    </row>
    <row r="425" spans="1:16" x14ac:dyDescent="0.3">
      <c r="A425" s="531"/>
      <c r="B425" s="50" t="s">
        <v>13</v>
      </c>
      <c r="C425" s="25">
        <v>10480</v>
      </c>
      <c r="D425" s="25">
        <v>72968</v>
      </c>
      <c r="E425" s="25">
        <v>83448</v>
      </c>
      <c r="F425" s="15">
        <v>68</v>
      </c>
      <c r="G425" s="15">
        <v>127</v>
      </c>
      <c r="H425" s="25">
        <v>195</v>
      </c>
      <c r="I425" s="16"/>
      <c r="J425" s="27">
        <f t="shared" si="54"/>
        <v>-4324</v>
      </c>
      <c r="K425" s="27">
        <f t="shared" si="54"/>
        <v>-5954</v>
      </c>
      <c r="L425" s="27">
        <f t="shared" si="54"/>
        <v>-10278</v>
      </c>
      <c r="M425" s="28">
        <f t="shared" si="55"/>
        <v>-0.10966007297868255</v>
      </c>
      <c r="O425" s="35"/>
      <c r="P425" s="35"/>
    </row>
    <row r="426" spans="1:16" x14ac:dyDescent="0.3">
      <c r="A426" s="531"/>
      <c r="B426" s="50" t="s">
        <v>14</v>
      </c>
      <c r="C426" s="25">
        <v>3070</v>
      </c>
      <c r="D426" s="25">
        <v>67279</v>
      </c>
      <c r="E426" s="25">
        <v>70349</v>
      </c>
      <c r="F426" s="15">
        <v>14</v>
      </c>
      <c r="G426" s="15">
        <v>55</v>
      </c>
      <c r="H426" s="15">
        <v>69</v>
      </c>
      <c r="I426" s="16"/>
      <c r="J426" s="27">
        <f t="shared" si="54"/>
        <v>-8967</v>
      </c>
      <c r="K426" s="27">
        <f t="shared" si="54"/>
        <v>-1079</v>
      </c>
      <c r="L426" s="27">
        <f t="shared" si="54"/>
        <v>-10046</v>
      </c>
      <c r="M426" s="28">
        <f t="shared" si="55"/>
        <v>-0.12495801977734934</v>
      </c>
      <c r="O426" s="35"/>
      <c r="P426" s="35"/>
    </row>
    <row r="427" spans="1:16" x14ac:dyDescent="0.3">
      <c r="A427" s="531"/>
      <c r="B427" s="50" t="s">
        <v>15</v>
      </c>
      <c r="C427" s="25">
        <v>16393</v>
      </c>
      <c r="D427" s="25">
        <v>147606</v>
      </c>
      <c r="E427" s="25">
        <v>163999</v>
      </c>
      <c r="F427" s="15">
        <v>293</v>
      </c>
      <c r="G427" s="15">
        <v>701</v>
      </c>
      <c r="H427" s="25">
        <v>994</v>
      </c>
      <c r="I427" s="16"/>
      <c r="J427" s="27">
        <f t="shared" si="54"/>
        <v>-1384</v>
      </c>
      <c r="K427" s="27">
        <f t="shared" si="54"/>
        <v>3775</v>
      </c>
      <c r="L427" s="27">
        <f t="shared" si="54"/>
        <v>2391</v>
      </c>
      <c r="M427" s="28">
        <f t="shared" si="55"/>
        <v>1.4795059650512352E-2</v>
      </c>
      <c r="O427" s="35"/>
      <c r="P427" s="35"/>
    </row>
    <row r="428" spans="1:16" x14ac:dyDescent="0.3">
      <c r="A428" s="531"/>
      <c r="B428" s="51" t="s">
        <v>17</v>
      </c>
      <c r="C428" s="22">
        <v>73196</v>
      </c>
      <c r="D428" s="22">
        <v>652780</v>
      </c>
      <c r="E428" s="22">
        <v>725976</v>
      </c>
      <c r="F428" s="22">
        <v>920</v>
      </c>
      <c r="G428" s="22">
        <v>1687</v>
      </c>
      <c r="H428" s="22">
        <v>2607</v>
      </c>
      <c r="I428" s="23"/>
      <c r="J428" s="29">
        <f t="shared" si="54"/>
        <v>-20467</v>
      </c>
      <c r="K428" s="29">
        <f t="shared" si="54"/>
        <v>3640</v>
      </c>
      <c r="L428" s="29">
        <f t="shared" si="54"/>
        <v>-16827</v>
      </c>
      <c r="M428" s="30">
        <f t="shared" si="55"/>
        <v>-2.2653381852254233E-2</v>
      </c>
      <c r="O428" s="35"/>
      <c r="P428" s="35"/>
    </row>
    <row r="429" spans="1:16" x14ac:dyDescent="0.3">
      <c r="A429" s="531"/>
      <c r="B429" s="50" t="s">
        <v>2</v>
      </c>
      <c r="C429" s="25">
        <v>45473</v>
      </c>
      <c r="D429" s="25">
        <v>9195</v>
      </c>
      <c r="E429" s="25">
        <v>54668</v>
      </c>
      <c r="F429" s="15">
        <v>21</v>
      </c>
      <c r="G429" s="15">
        <v>17</v>
      </c>
      <c r="H429" s="15">
        <v>38</v>
      </c>
      <c r="I429" s="16"/>
      <c r="J429" s="27">
        <f t="shared" si="54"/>
        <v>43384</v>
      </c>
      <c r="K429" s="27">
        <f t="shared" si="54"/>
        <v>-10092</v>
      </c>
      <c r="L429" s="27">
        <f t="shared" si="54"/>
        <v>33292</v>
      </c>
      <c r="M429" s="28">
        <f t="shared" si="55"/>
        <v>1.5574476047904191</v>
      </c>
      <c r="O429" s="35"/>
      <c r="P429" s="35"/>
    </row>
    <row r="430" spans="1:16" x14ac:dyDescent="0.3">
      <c r="A430" s="531"/>
      <c r="B430" s="50" t="s">
        <v>18</v>
      </c>
      <c r="C430" s="25">
        <v>12108</v>
      </c>
      <c r="D430" s="25">
        <v>25937</v>
      </c>
      <c r="E430" s="25">
        <v>38045</v>
      </c>
      <c r="F430" s="15">
        <v>25</v>
      </c>
      <c r="G430" s="15">
        <v>34</v>
      </c>
      <c r="H430" s="15">
        <v>59</v>
      </c>
      <c r="I430" s="16"/>
      <c r="J430" s="27">
        <f t="shared" si="54"/>
        <v>12108</v>
      </c>
      <c r="K430" s="27">
        <f t="shared" si="54"/>
        <v>-178</v>
      </c>
      <c r="L430" s="27">
        <f t="shared" si="54"/>
        <v>11930</v>
      </c>
      <c r="M430" s="28">
        <f t="shared" si="55"/>
        <v>0.45682557916905991</v>
      </c>
      <c r="O430" s="35"/>
      <c r="P430" s="35"/>
    </row>
    <row r="431" spans="1:16" x14ac:dyDescent="0.3">
      <c r="A431" s="531"/>
      <c r="B431" s="51" t="s">
        <v>9</v>
      </c>
      <c r="C431" s="22">
        <v>130777</v>
      </c>
      <c r="D431" s="22">
        <v>687912</v>
      </c>
      <c r="E431" s="22">
        <v>818689</v>
      </c>
      <c r="F431" s="22">
        <v>966</v>
      </c>
      <c r="G431" s="22">
        <v>1738</v>
      </c>
      <c r="H431" s="22">
        <v>2704</v>
      </c>
      <c r="I431" s="23"/>
      <c r="J431" s="33">
        <f t="shared" si="54"/>
        <v>35025</v>
      </c>
      <c r="K431" s="33">
        <f t="shared" si="54"/>
        <v>-6630</v>
      </c>
      <c r="L431" s="33">
        <f t="shared" si="54"/>
        <v>28395</v>
      </c>
      <c r="M431" s="34">
        <f t="shared" si="55"/>
        <v>3.5929666681007319E-2</v>
      </c>
      <c r="O431" s="35"/>
      <c r="P431" s="35"/>
    </row>
    <row r="433" spans="1:16" x14ac:dyDescent="0.3">
      <c r="C433" s="35"/>
      <c r="D433" s="35"/>
      <c r="E433" s="35"/>
      <c r="F433" s="35"/>
      <c r="G433" s="35"/>
      <c r="H433" s="35"/>
    </row>
    <row r="434" spans="1:16" x14ac:dyDescent="0.3">
      <c r="C434" s="35"/>
      <c r="D434" s="35"/>
      <c r="E434" s="35"/>
      <c r="F434" s="35"/>
      <c r="G434" s="35"/>
      <c r="H434" s="35"/>
    </row>
    <row r="435" spans="1:16" x14ac:dyDescent="0.3">
      <c r="B435" s="528" t="s">
        <v>4</v>
      </c>
      <c r="C435" s="45" t="s">
        <v>5</v>
      </c>
      <c r="D435" s="46"/>
      <c r="E435" s="47"/>
      <c r="F435" s="532" t="s">
        <v>6</v>
      </c>
      <c r="G435" s="532"/>
      <c r="H435" s="532"/>
      <c r="I435" s="8"/>
      <c r="J435" s="8"/>
      <c r="L435" s="524" t="s">
        <v>10</v>
      </c>
      <c r="M435" s="525"/>
    </row>
    <row r="436" spans="1:16" x14ac:dyDescent="0.3">
      <c r="B436" s="529"/>
      <c r="C436" s="6" t="s">
        <v>7</v>
      </c>
      <c r="D436" s="6" t="s">
        <v>8</v>
      </c>
      <c r="E436" s="6" t="s">
        <v>9</v>
      </c>
      <c r="F436" s="7" t="s">
        <v>7</v>
      </c>
      <c r="G436" s="7" t="s">
        <v>8</v>
      </c>
      <c r="H436" s="7" t="s">
        <v>9</v>
      </c>
      <c r="I436" s="8"/>
      <c r="J436" s="6" t="s">
        <v>19</v>
      </c>
      <c r="K436" s="6" t="s">
        <v>20</v>
      </c>
      <c r="L436" s="526"/>
      <c r="M436" s="527"/>
    </row>
    <row r="437" spans="1:16" x14ac:dyDescent="0.3">
      <c r="A437" s="530">
        <v>40147</v>
      </c>
      <c r="B437" s="9" t="s">
        <v>11</v>
      </c>
      <c r="C437" s="48"/>
      <c r="D437" s="48"/>
      <c r="E437" s="48"/>
      <c r="F437" s="49"/>
      <c r="G437" s="49"/>
      <c r="H437" s="49"/>
      <c r="I437" s="12"/>
      <c r="J437" s="24"/>
      <c r="K437" s="24"/>
      <c r="L437" s="24"/>
      <c r="M437" s="24"/>
    </row>
    <row r="438" spans="1:16" x14ac:dyDescent="0.3">
      <c r="A438" s="531"/>
      <c r="B438" s="50" t="s">
        <v>12</v>
      </c>
      <c r="C438" s="25">
        <v>59369</v>
      </c>
      <c r="D438" s="25">
        <v>365175</v>
      </c>
      <c r="E438" s="25">
        <v>424544</v>
      </c>
      <c r="F438" s="25">
        <v>819</v>
      </c>
      <c r="G438" s="15">
        <v>845</v>
      </c>
      <c r="H438" s="25">
        <v>1664</v>
      </c>
      <c r="I438" s="16"/>
      <c r="J438" s="27">
        <f t="shared" ref="J438:L445" si="56">C438-C424</f>
        <v>16116</v>
      </c>
      <c r="K438" s="27">
        <f t="shared" si="56"/>
        <v>248</v>
      </c>
      <c r="L438" s="27">
        <f t="shared" si="56"/>
        <v>16364</v>
      </c>
      <c r="M438" s="28">
        <f t="shared" ref="M438:M445" si="57">L438/E424</f>
        <v>4.009015630359155E-2</v>
      </c>
      <c r="O438" s="35"/>
      <c r="P438" s="35"/>
    </row>
    <row r="439" spans="1:16" x14ac:dyDescent="0.3">
      <c r="A439" s="531"/>
      <c r="B439" s="50" t="s">
        <v>13</v>
      </c>
      <c r="C439" s="25">
        <v>15272</v>
      </c>
      <c r="D439" s="25">
        <v>63731</v>
      </c>
      <c r="E439" s="25">
        <v>79003</v>
      </c>
      <c r="F439" s="15">
        <v>191</v>
      </c>
      <c r="G439" s="15">
        <v>120</v>
      </c>
      <c r="H439" s="25">
        <v>311</v>
      </c>
      <c r="I439" s="16"/>
      <c r="J439" s="27">
        <f t="shared" si="56"/>
        <v>4792</v>
      </c>
      <c r="K439" s="27">
        <f t="shared" si="56"/>
        <v>-9237</v>
      </c>
      <c r="L439" s="27">
        <f t="shared" si="56"/>
        <v>-4445</v>
      </c>
      <c r="M439" s="28">
        <f t="shared" si="57"/>
        <v>-5.3266705013900871E-2</v>
      </c>
      <c r="O439" s="35"/>
      <c r="P439" s="35"/>
    </row>
    <row r="440" spans="1:16" x14ac:dyDescent="0.3">
      <c r="A440" s="531"/>
      <c r="B440" s="50" t="s">
        <v>14</v>
      </c>
      <c r="C440" s="25">
        <v>35991</v>
      </c>
      <c r="D440" s="25">
        <v>72248</v>
      </c>
      <c r="E440" s="25">
        <v>108239</v>
      </c>
      <c r="F440" s="15">
        <v>96</v>
      </c>
      <c r="G440" s="15">
        <v>53</v>
      </c>
      <c r="H440" s="15">
        <v>149</v>
      </c>
      <c r="I440" s="16"/>
      <c r="J440" s="27">
        <f t="shared" si="56"/>
        <v>32921</v>
      </c>
      <c r="K440" s="27">
        <f t="shared" si="56"/>
        <v>4969</v>
      </c>
      <c r="L440" s="27">
        <f t="shared" si="56"/>
        <v>37890</v>
      </c>
      <c r="M440" s="28">
        <f t="shared" si="57"/>
        <v>0.5386004065445138</v>
      </c>
      <c r="O440" s="35"/>
      <c r="P440" s="35"/>
    </row>
    <row r="441" spans="1:16" x14ac:dyDescent="0.3">
      <c r="A441" s="531"/>
      <c r="B441" s="50" t="s">
        <v>15</v>
      </c>
      <c r="C441" s="25">
        <v>29977</v>
      </c>
      <c r="D441" s="25">
        <v>149579</v>
      </c>
      <c r="E441" s="25">
        <v>179556</v>
      </c>
      <c r="F441" s="15">
        <v>573</v>
      </c>
      <c r="G441" s="15">
        <v>720</v>
      </c>
      <c r="H441" s="25">
        <v>1293</v>
      </c>
      <c r="I441" s="16"/>
      <c r="J441" s="27">
        <f t="shared" si="56"/>
        <v>13584</v>
      </c>
      <c r="K441" s="27">
        <f t="shared" si="56"/>
        <v>1973</v>
      </c>
      <c r="L441" s="27">
        <f t="shared" si="56"/>
        <v>15557</v>
      </c>
      <c r="M441" s="28">
        <f t="shared" si="57"/>
        <v>9.486033451423484E-2</v>
      </c>
      <c r="O441" s="35"/>
      <c r="P441" s="35"/>
    </row>
    <row r="442" spans="1:16" x14ac:dyDescent="0.3">
      <c r="A442" s="531"/>
      <c r="B442" s="51" t="s">
        <v>17</v>
      </c>
      <c r="C442" s="22">
        <v>140609</v>
      </c>
      <c r="D442" s="22">
        <v>650733</v>
      </c>
      <c r="E442" s="22">
        <v>791342</v>
      </c>
      <c r="F442" s="22">
        <v>1679</v>
      </c>
      <c r="G442" s="22">
        <v>1738</v>
      </c>
      <c r="H442" s="22">
        <v>3417</v>
      </c>
      <c r="I442" s="23"/>
      <c r="J442" s="29">
        <f t="shared" si="56"/>
        <v>67413</v>
      </c>
      <c r="K442" s="29">
        <f t="shared" si="56"/>
        <v>-2047</v>
      </c>
      <c r="L442" s="29">
        <f t="shared" si="56"/>
        <v>65366</v>
      </c>
      <c r="M442" s="30">
        <f t="shared" si="57"/>
        <v>9.003878916107419E-2</v>
      </c>
      <c r="O442" s="35"/>
      <c r="P442" s="35"/>
    </row>
    <row r="443" spans="1:16" x14ac:dyDescent="0.3">
      <c r="A443" s="531"/>
      <c r="B443" s="50" t="s">
        <v>2</v>
      </c>
      <c r="C443" s="25">
        <v>2268</v>
      </c>
      <c r="D443" s="25">
        <v>23638</v>
      </c>
      <c r="E443" s="25">
        <v>25906</v>
      </c>
      <c r="F443" s="15">
        <v>8</v>
      </c>
      <c r="G443" s="15">
        <v>19</v>
      </c>
      <c r="H443" s="15">
        <v>27</v>
      </c>
      <c r="I443" s="16"/>
      <c r="J443" s="27">
        <f t="shared" si="56"/>
        <v>-43205</v>
      </c>
      <c r="K443" s="27">
        <f t="shared" si="56"/>
        <v>14443</v>
      </c>
      <c r="L443" s="27">
        <f t="shared" si="56"/>
        <v>-28762</v>
      </c>
      <c r="M443" s="28">
        <f t="shared" si="57"/>
        <v>-0.52612131411428986</v>
      </c>
      <c r="O443" s="35"/>
      <c r="P443" s="35"/>
    </row>
    <row r="444" spans="1:16" x14ac:dyDescent="0.3">
      <c r="A444" s="531"/>
      <c r="B444" s="50" t="s">
        <v>18</v>
      </c>
      <c r="C444" s="25">
        <v>0</v>
      </c>
      <c r="D444" s="25">
        <v>36253</v>
      </c>
      <c r="E444" s="25">
        <v>36253</v>
      </c>
      <c r="F444" s="15">
        <v>0</v>
      </c>
      <c r="G444" s="15">
        <v>37</v>
      </c>
      <c r="H444" s="15">
        <v>37</v>
      </c>
      <c r="I444" s="16"/>
      <c r="J444" s="27">
        <f t="shared" si="56"/>
        <v>-12108</v>
      </c>
      <c r="K444" s="27">
        <f t="shared" si="56"/>
        <v>10316</v>
      </c>
      <c r="L444" s="27">
        <f t="shared" si="56"/>
        <v>-1792</v>
      </c>
      <c r="M444" s="28">
        <f t="shared" si="57"/>
        <v>-4.7102115915363382E-2</v>
      </c>
      <c r="O444" s="35"/>
      <c r="P444" s="35"/>
    </row>
    <row r="445" spans="1:16" x14ac:dyDescent="0.3">
      <c r="A445" s="531"/>
      <c r="B445" s="51" t="s">
        <v>9</v>
      </c>
      <c r="C445" s="22">
        <v>142877</v>
      </c>
      <c r="D445" s="22">
        <v>710624</v>
      </c>
      <c r="E445" s="22">
        <v>853501</v>
      </c>
      <c r="F445" s="22">
        <v>1687</v>
      </c>
      <c r="G445" s="22">
        <v>1794</v>
      </c>
      <c r="H445" s="22">
        <v>3481</v>
      </c>
      <c r="I445" s="23"/>
      <c r="J445" s="33">
        <f t="shared" si="56"/>
        <v>12100</v>
      </c>
      <c r="K445" s="33">
        <f t="shared" si="56"/>
        <v>22712</v>
      </c>
      <c r="L445" s="33">
        <f t="shared" si="56"/>
        <v>34812</v>
      </c>
      <c r="M445" s="34">
        <f t="shared" si="57"/>
        <v>4.252164130701646E-2</v>
      </c>
      <c r="O445" s="35"/>
      <c r="P445" s="35"/>
    </row>
    <row r="447" spans="1:16" x14ac:dyDescent="0.3">
      <c r="C447" s="35"/>
      <c r="D447" s="35"/>
      <c r="E447" s="35"/>
      <c r="F447" s="35"/>
      <c r="G447" s="35"/>
      <c r="H447" s="35"/>
    </row>
    <row r="448" spans="1:16" x14ac:dyDescent="0.3">
      <c r="C448" s="35"/>
      <c r="D448" s="35"/>
      <c r="E448" s="35"/>
      <c r="F448" s="35"/>
      <c r="G448" s="35"/>
      <c r="H448" s="35"/>
    </row>
    <row r="449" spans="1:16" x14ac:dyDescent="0.3">
      <c r="B449" s="528" t="s">
        <v>4</v>
      </c>
      <c r="C449" s="45" t="s">
        <v>5</v>
      </c>
      <c r="D449" s="46"/>
      <c r="E449" s="47"/>
      <c r="F449" s="532" t="s">
        <v>6</v>
      </c>
      <c r="G449" s="532"/>
      <c r="H449" s="532"/>
      <c r="I449" s="8"/>
      <c r="J449" s="8"/>
      <c r="L449" s="524" t="s">
        <v>10</v>
      </c>
      <c r="M449" s="525"/>
    </row>
    <row r="450" spans="1:16" x14ac:dyDescent="0.3">
      <c r="B450" s="529"/>
      <c r="C450" s="6" t="s">
        <v>7</v>
      </c>
      <c r="D450" s="6" t="s">
        <v>8</v>
      </c>
      <c r="E450" s="6" t="s">
        <v>9</v>
      </c>
      <c r="F450" s="7" t="s">
        <v>7</v>
      </c>
      <c r="G450" s="7" t="s">
        <v>8</v>
      </c>
      <c r="H450" s="7" t="s">
        <v>9</v>
      </c>
      <c r="I450" s="8"/>
      <c r="J450" s="6" t="s">
        <v>19</v>
      </c>
      <c r="K450" s="6" t="s">
        <v>20</v>
      </c>
      <c r="L450" s="526"/>
      <c r="M450" s="527"/>
    </row>
    <row r="451" spans="1:16" x14ac:dyDescent="0.3">
      <c r="A451" s="530">
        <v>40178</v>
      </c>
      <c r="B451" s="9" t="s">
        <v>11</v>
      </c>
      <c r="C451" s="48"/>
      <c r="D451" s="48"/>
      <c r="E451" s="48"/>
      <c r="F451" s="49"/>
      <c r="G451" s="49"/>
      <c r="H451" s="49"/>
      <c r="I451" s="12"/>
      <c r="J451" s="24"/>
      <c r="K451" s="24"/>
      <c r="L451" s="24"/>
      <c r="M451" s="24"/>
    </row>
    <row r="452" spans="1:16" x14ac:dyDescent="0.3">
      <c r="A452" s="531"/>
      <c r="B452" s="50" t="s">
        <v>12</v>
      </c>
      <c r="C452" s="25">
        <v>36569</v>
      </c>
      <c r="D452" s="25">
        <v>384541</v>
      </c>
      <c r="E452" s="25">
        <v>421110</v>
      </c>
      <c r="F452" s="25">
        <v>409</v>
      </c>
      <c r="G452" s="15">
        <v>968</v>
      </c>
      <c r="H452" s="25">
        <v>1377</v>
      </c>
      <c r="I452" s="16"/>
      <c r="J452" s="27">
        <f t="shared" ref="J452:L459" si="58">C452-C438</f>
        <v>-22800</v>
      </c>
      <c r="K452" s="27">
        <f t="shared" si="58"/>
        <v>19366</v>
      </c>
      <c r="L452" s="27">
        <f t="shared" si="58"/>
        <v>-3434</v>
      </c>
      <c r="M452" s="28">
        <f t="shared" ref="M452:M459" si="59">L452/E438</f>
        <v>-8.0886786764151654E-3</v>
      </c>
      <c r="O452" s="35"/>
      <c r="P452" s="35"/>
    </row>
    <row r="453" spans="1:16" x14ac:dyDescent="0.3">
      <c r="A453" s="531"/>
      <c r="B453" s="50" t="s">
        <v>13</v>
      </c>
      <c r="C453" s="25">
        <v>8541</v>
      </c>
      <c r="D453" s="25">
        <v>67183</v>
      </c>
      <c r="E453" s="25">
        <v>75724</v>
      </c>
      <c r="F453" s="15">
        <v>82</v>
      </c>
      <c r="G453" s="15">
        <v>151</v>
      </c>
      <c r="H453" s="25">
        <v>233</v>
      </c>
      <c r="I453" s="16"/>
      <c r="J453" s="27">
        <f t="shared" si="58"/>
        <v>-6731</v>
      </c>
      <c r="K453" s="27">
        <f t="shared" si="58"/>
        <v>3452</v>
      </c>
      <c r="L453" s="27">
        <f t="shared" si="58"/>
        <v>-3279</v>
      </c>
      <c r="M453" s="28">
        <f t="shared" si="59"/>
        <v>-4.1504752984063899E-2</v>
      </c>
      <c r="O453" s="35"/>
      <c r="P453" s="35"/>
    </row>
    <row r="454" spans="1:16" x14ac:dyDescent="0.3">
      <c r="A454" s="531"/>
      <c r="B454" s="50" t="s">
        <v>14</v>
      </c>
      <c r="C454" s="25">
        <v>3018</v>
      </c>
      <c r="D454" s="25">
        <v>95113</v>
      </c>
      <c r="E454" s="25">
        <v>98131</v>
      </c>
      <c r="F454" s="15">
        <v>42</v>
      </c>
      <c r="G454" s="15">
        <v>72</v>
      </c>
      <c r="H454" s="15">
        <v>114</v>
      </c>
      <c r="I454" s="16"/>
      <c r="J454" s="27">
        <f t="shared" si="58"/>
        <v>-32973</v>
      </c>
      <c r="K454" s="27">
        <f t="shared" si="58"/>
        <v>22865</v>
      </c>
      <c r="L454" s="27">
        <f t="shared" si="58"/>
        <v>-10108</v>
      </c>
      <c r="M454" s="28">
        <f t="shared" si="59"/>
        <v>-9.338593298164248E-2</v>
      </c>
      <c r="O454" s="35"/>
      <c r="P454" s="35"/>
    </row>
    <row r="455" spans="1:16" x14ac:dyDescent="0.3">
      <c r="A455" s="531"/>
      <c r="B455" s="50" t="s">
        <v>15</v>
      </c>
      <c r="C455" s="25">
        <v>6510</v>
      </c>
      <c r="D455" s="25">
        <v>168249</v>
      </c>
      <c r="E455" s="25">
        <v>174759</v>
      </c>
      <c r="F455" s="15">
        <v>143</v>
      </c>
      <c r="G455" s="15">
        <v>876</v>
      </c>
      <c r="H455" s="25">
        <v>1019</v>
      </c>
      <c r="I455" s="16"/>
      <c r="J455" s="27">
        <f t="shared" si="58"/>
        <v>-23467</v>
      </c>
      <c r="K455" s="27">
        <f t="shared" si="58"/>
        <v>18670</v>
      </c>
      <c r="L455" s="27">
        <f t="shared" si="58"/>
        <v>-4797</v>
      </c>
      <c r="M455" s="28">
        <f t="shared" si="59"/>
        <v>-2.6715899218071243E-2</v>
      </c>
      <c r="O455" s="35"/>
      <c r="P455" s="35"/>
    </row>
    <row r="456" spans="1:16" x14ac:dyDescent="0.3">
      <c r="A456" s="531"/>
      <c r="B456" s="51" t="s">
        <v>17</v>
      </c>
      <c r="C456" s="22">
        <v>54638</v>
      </c>
      <c r="D456" s="22">
        <v>715086</v>
      </c>
      <c r="E456" s="22">
        <v>769724</v>
      </c>
      <c r="F456" s="22">
        <v>676</v>
      </c>
      <c r="G456" s="22">
        <v>2067</v>
      </c>
      <c r="H456" s="22">
        <v>2743</v>
      </c>
      <c r="I456" s="23"/>
      <c r="J456" s="29">
        <f t="shared" si="58"/>
        <v>-85971</v>
      </c>
      <c r="K456" s="29">
        <f t="shared" si="58"/>
        <v>64353</v>
      </c>
      <c r="L456" s="29">
        <f t="shared" si="58"/>
        <v>-21618</v>
      </c>
      <c r="M456" s="30">
        <f t="shared" si="59"/>
        <v>-2.731815068579704E-2</v>
      </c>
      <c r="O456" s="35"/>
      <c r="P456" s="35"/>
    </row>
    <row r="457" spans="1:16" x14ac:dyDescent="0.3">
      <c r="A457" s="531"/>
      <c r="B457" s="50" t="s">
        <v>2</v>
      </c>
      <c r="C457" s="25">
        <v>16661</v>
      </c>
      <c r="D457" s="25">
        <v>36117</v>
      </c>
      <c r="E457" s="25">
        <v>52778</v>
      </c>
      <c r="F457" s="15">
        <v>23</v>
      </c>
      <c r="G457" s="15">
        <v>16</v>
      </c>
      <c r="H457" s="15">
        <v>39</v>
      </c>
      <c r="I457" s="16"/>
      <c r="J457" s="27">
        <f t="shared" si="58"/>
        <v>14393</v>
      </c>
      <c r="K457" s="27">
        <f t="shared" si="58"/>
        <v>12479</v>
      </c>
      <c r="L457" s="27">
        <f t="shared" si="58"/>
        <v>26872</v>
      </c>
      <c r="M457" s="28">
        <f t="shared" si="59"/>
        <v>1.0372886589979156</v>
      </c>
      <c r="O457" s="35"/>
      <c r="P457" s="35"/>
    </row>
    <row r="458" spans="1:16" x14ac:dyDescent="0.3">
      <c r="A458" s="531"/>
      <c r="B458" s="50" t="s">
        <v>18</v>
      </c>
      <c r="C458" s="25">
        <v>0</v>
      </c>
      <c r="D458" s="25">
        <v>36253</v>
      </c>
      <c r="E458" s="25">
        <v>36253</v>
      </c>
      <c r="F458" s="15" t="s">
        <v>22</v>
      </c>
      <c r="G458" s="15">
        <v>37</v>
      </c>
      <c r="H458" s="15">
        <v>37</v>
      </c>
      <c r="I458" s="16"/>
      <c r="J458" s="27">
        <f t="shared" si="58"/>
        <v>0</v>
      </c>
      <c r="K458" s="27">
        <f t="shared" si="58"/>
        <v>0</v>
      </c>
      <c r="L458" s="27">
        <f t="shared" si="58"/>
        <v>0</v>
      </c>
      <c r="M458" s="28">
        <f t="shared" si="59"/>
        <v>0</v>
      </c>
      <c r="O458" s="35"/>
      <c r="P458" s="35"/>
    </row>
    <row r="459" spans="1:16" x14ac:dyDescent="0.3">
      <c r="A459" s="531"/>
      <c r="B459" s="51" t="s">
        <v>9</v>
      </c>
      <c r="C459" s="22">
        <v>71299</v>
      </c>
      <c r="D459" s="22">
        <v>787456</v>
      </c>
      <c r="E459" s="22">
        <v>858755</v>
      </c>
      <c r="F459" s="22">
        <v>699</v>
      </c>
      <c r="G459" s="22">
        <v>2120</v>
      </c>
      <c r="H459" s="22">
        <v>2819</v>
      </c>
      <c r="I459" s="23"/>
      <c r="J459" s="33">
        <f t="shared" si="58"/>
        <v>-71578</v>
      </c>
      <c r="K459" s="33">
        <f t="shared" si="58"/>
        <v>76832</v>
      </c>
      <c r="L459" s="33">
        <f t="shared" si="58"/>
        <v>5254</v>
      </c>
      <c r="M459" s="34">
        <f t="shared" si="59"/>
        <v>6.1558217272153163E-3</v>
      </c>
      <c r="O459" s="35"/>
      <c r="P459" s="35"/>
    </row>
    <row r="461" spans="1:16" x14ac:dyDescent="0.3">
      <c r="C461" s="35"/>
      <c r="D461" s="35"/>
      <c r="E461" s="35"/>
      <c r="F461" s="35"/>
      <c r="G461" s="35"/>
      <c r="H461" s="35"/>
    </row>
    <row r="462" spans="1:16" x14ac:dyDescent="0.3">
      <c r="C462" s="35"/>
      <c r="D462" s="35"/>
      <c r="E462" s="35"/>
      <c r="F462" s="35"/>
      <c r="G462" s="35"/>
      <c r="H462" s="35"/>
    </row>
    <row r="463" spans="1:16" x14ac:dyDescent="0.3">
      <c r="B463" s="528" t="s">
        <v>4</v>
      </c>
      <c r="C463" s="537" t="s">
        <v>5</v>
      </c>
      <c r="D463" s="538"/>
      <c r="E463" s="539"/>
      <c r="F463" s="532" t="s">
        <v>6</v>
      </c>
      <c r="G463" s="532"/>
      <c r="H463" s="532"/>
      <c r="I463" s="8"/>
      <c r="J463" s="8"/>
      <c r="L463" s="524" t="s">
        <v>10</v>
      </c>
      <c r="M463" s="525"/>
    </row>
    <row r="464" spans="1:16" x14ac:dyDescent="0.3">
      <c r="B464" s="529"/>
      <c r="C464" s="6" t="s">
        <v>7</v>
      </c>
      <c r="D464" s="6" t="s">
        <v>8</v>
      </c>
      <c r="E464" s="6" t="s">
        <v>9</v>
      </c>
      <c r="F464" s="7" t="s">
        <v>7</v>
      </c>
      <c r="G464" s="7" t="s">
        <v>8</v>
      </c>
      <c r="H464" s="7" t="s">
        <v>9</v>
      </c>
      <c r="I464" s="8"/>
      <c r="J464" s="6" t="s">
        <v>19</v>
      </c>
      <c r="K464" s="6" t="s">
        <v>20</v>
      </c>
      <c r="L464" s="526"/>
      <c r="M464" s="527"/>
    </row>
    <row r="465" spans="1:16" x14ac:dyDescent="0.3">
      <c r="A465" s="530">
        <v>40209</v>
      </c>
      <c r="B465" s="9" t="s">
        <v>11</v>
      </c>
      <c r="C465" s="48"/>
      <c r="D465" s="48"/>
      <c r="E465" s="48"/>
      <c r="F465" s="49"/>
      <c r="G465" s="49"/>
      <c r="H465" s="49"/>
      <c r="I465" s="12"/>
      <c r="J465" s="24"/>
      <c r="K465" s="24"/>
      <c r="L465" s="24"/>
      <c r="M465" s="24"/>
    </row>
    <row r="466" spans="1:16" x14ac:dyDescent="0.3">
      <c r="A466" s="531"/>
      <c r="B466" s="50" t="s">
        <v>12</v>
      </c>
      <c r="C466" s="25">
        <v>65090</v>
      </c>
      <c r="D466" s="25">
        <v>379833</v>
      </c>
      <c r="E466" s="25">
        <v>444923</v>
      </c>
      <c r="F466" s="25">
        <v>803</v>
      </c>
      <c r="G466" s="15">
        <v>847</v>
      </c>
      <c r="H466" s="25">
        <v>1650</v>
      </c>
      <c r="I466" s="16"/>
      <c r="J466" s="27">
        <f t="shared" ref="J466:J473" si="60">C466-C452</f>
        <v>28521</v>
      </c>
      <c r="K466" s="27">
        <f t="shared" ref="K466:K473" si="61">D466-D452</f>
        <v>-4708</v>
      </c>
      <c r="L466" s="27">
        <f t="shared" ref="L466:L473" si="62">E466-E452</f>
        <v>23813</v>
      </c>
      <c r="M466" s="28">
        <f t="shared" ref="M466:M473" si="63">L466/E452</f>
        <v>5.6548170311795015E-2</v>
      </c>
      <c r="O466" s="35"/>
      <c r="P466" s="35"/>
    </row>
    <row r="467" spans="1:16" x14ac:dyDescent="0.3">
      <c r="A467" s="531"/>
      <c r="B467" s="50" t="s">
        <v>13</v>
      </c>
      <c r="C467" s="25">
        <v>16752</v>
      </c>
      <c r="D467" s="25">
        <v>64992</v>
      </c>
      <c r="E467" s="25">
        <v>81744</v>
      </c>
      <c r="F467" s="15">
        <v>135</v>
      </c>
      <c r="G467" s="15">
        <v>132</v>
      </c>
      <c r="H467" s="25">
        <v>267</v>
      </c>
      <c r="I467" s="16"/>
      <c r="J467" s="27">
        <f t="shared" si="60"/>
        <v>8211</v>
      </c>
      <c r="K467" s="27">
        <f t="shared" si="61"/>
        <v>-2191</v>
      </c>
      <c r="L467" s="27">
        <f t="shared" si="62"/>
        <v>6020</v>
      </c>
      <c r="M467" s="28">
        <f t="shared" si="63"/>
        <v>7.9499234060535634E-2</v>
      </c>
      <c r="O467" s="35"/>
      <c r="P467" s="35"/>
    </row>
    <row r="468" spans="1:16" x14ac:dyDescent="0.3">
      <c r="A468" s="531"/>
      <c r="B468" s="50" t="s">
        <v>14</v>
      </c>
      <c r="C468" s="25">
        <v>1036</v>
      </c>
      <c r="D468" s="25">
        <v>90202</v>
      </c>
      <c r="E468" s="25">
        <v>91238</v>
      </c>
      <c r="F468" s="15">
        <v>13</v>
      </c>
      <c r="G468" s="15">
        <v>70</v>
      </c>
      <c r="H468" s="15">
        <v>83</v>
      </c>
      <c r="I468" s="16"/>
      <c r="J468" s="27">
        <f t="shared" si="60"/>
        <v>-1982</v>
      </c>
      <c r="K468" s="27">
        <f t="shared" si="61"/>
        <v>-4911</v>
      </c>
      <c r="L468" s="27">
        <f t="shared" si="62"/>
        <v>-6893</v>
      </c>
      <c r="M468" s="28">
        <f t="shared" si="63"/>
        <v>-7.0242838654451703E-2</v>
      </c>
      <c r="O468" s="35"/>
      <c r="P468" s="35"/>
    </row>
    <row r="469" spans="1:16" x14ac:dyDescent="0.3">
      <c r="A469" s="531"/>
      <c r="B469" s="50" t="s">
        <v>15</v>
      </c>
      <c r="C469" s="25">
        <v>19692</v>
      </c>
      <c r="D469" s="25">
        <v>155549</v>
      </c>
      <c r="E469" s="25">
        <v>175241</v>
      </c>
      <c r="F469" s="15">
        <v>421</v>
      </c>
      <c r="G469" s="15">
        <v>786</v>
      </c>
      <c r="H469" s="25">
        <v>1207</v>
      </c>
      <c r="I469" s="16"/>
      <c r="J469" s="27">
        <f t="shared" si="60"/>
        <v>13182</v>
      </c>
      <c r="K469" s="27">
        <f t="shared" si="61"/>
        <v>-12700</v>
      </c>
      <c r="L469" s="27">
        <f t="shared" si="62"/>
        <v>482</v>
      </c>
      <c r="M469" s="28">
        <f t="shared" si="63"/>
        <v>2.7580839899518767E-3</v>
      </c>
      <c r="O469" s="35"/>
      <c r="P469" s="35"/>
    </row>
    <row r="470" spans="1:16" x14ac:dyDescent="0.3">
      <c r="A470" s="531"/>
      <c r="B470" s="51" t="s">
        <v>17</v>
      </c>
      <c r="C470" s="22">
        <v>102570</v>
      </c>
      <c r="D470" s="22">
        <v>690576</v>
      </c>
      <c r="E470" s="22">
        <v>793146</v>
      </c>
      <c r="F470" s="22">
        <v>1372</v>
      </c>
      <c r="G470" s="22">
        <v>1835</v>
      </c>
      <c r="H470" s="22">
        <v>3207</v>
      </c>
      <c r="I470" s="23"/>
      <c r="J470" s="29">
        <f t="shared" si="60"/>
        <v>47932</v>
      </c>
      <c r="K470" s="29">
        <f t="shared" si="61"/>
        <v>-24510</v>
      </c>
      <c r="L470" s="29">
        <f t="shared" si="62"/>
        <v>23422</v>
      </c>
      <c r="M470" s="30">
        <f t="shared" si="63"/>
        <v>3.0429088868217699E-2</v>
      </c>
      <c r="O470" s="35"/>
      <c r="P470" s="35"/>
    </row>
    <row r="471" spans="1:16" x14ac:dyDescent="0.3">
      <c r="A471" s="531"/>
      <c r="B471" s="50" t="s">
        <v>2</v>
      </c>
      <c r="C471" s="25">
        <v>26485</v>
      </c>
      <c r="D471" s="25">
        <v>30797</v>
      </c>
      <c r="E471" s="25">
        <v>57282</v>
      </c>
      <c r="F471" s="15">
        <v>20</v>
      </c>
      <c r="G471" s="15">
        <v>23</v>
      </c>
      <c r="H471" s="15">
        <v>43</v>
      </c>
      <c r="I471" s="16"/>
      <c r="J471" s="27">
        <f t="shared" si="60"/>
        <v>9824</v>
      </c>
      <c r="K471" s="27">
        <f t="shared" si="61"/>
        <v>-5320</v>
      </c>
      <c r="L471" s="27">
        <f t="shared" si="62"/>
        <v>4504</v>
      </c>
      <c r="M471" s="28">
        <f t="shared" si="63"/>
        <v>8.5338588048050321E-2</v>
      </c>
      <c r="O471" s="35"/>
      <c r="P471" s="35"/>
    </row>
    <row r="472" spans="1:16" x14ac:dyDescent="0.3">
      <c r="A472" s="531"/>
      <c r="B472" s="50" t="s">
        <v>18</v>
      </c>
      <c r="C472" s="25">
        <v>3232</v>
      </c>
      <c r="D472" s="25">
        <v>19487</v>
      </c>
      <c r="E472" s="25">
        <v>22719</v>
      </c>
      <c r="F472" s="15">
        <v>23</v>
      </c>
      <c r="G472" s="15">
        <v>27</v>
      </c>
      <c r="H472" s="15">
        <v>50</v>
      </c>
      <c r="I472" s="16"/>
      <c r="J472" s="27">
        <f t="shared" si="60"/>
        <v>3232</v>
      </c>
      <c r="K472" s="27">
        <f t="shared" si="61"/>
        <v>-16766</v>
      </c>
      <c r="L472" s="27">
        <f t="shared" si="62"/>
        <v>-13534</v>
      </c>
      <c r="M472" s="28">
        <f t="shared" si="63"/>
        <v>-0.37332082862107963</v>
      </c>
      <c r="O472" s="35"/>
      <c r="P472" s="35"/>
    </row>
    <row r="473" spans="1:16" x14ac:dyDescent="0.3">
      <c r="A473" s="531"/>
      <c r="B473" s="51" t="s">
        <v>9</v>
      </c>
      <c r="C473" s="22">
        <v>132287</v>
      </c>
      <c r="D473" s="22">
        <v>740860</v>
      </c>
      <c r="E473" s="22">
        <v>873147</v>
      </c>
      <c r="F473" s="22">
        <v>1415</v>
      </c>
      <c r="G473" s="22">
        <v>1885</v>
      </c>
      <c r="H473" s="22">
        <v>3300</v>
      </c>
      <c r="I473" s="23"/>
      <c r="J473" s="33">
        <f t="shared" si="60"/>
        <v>60988</v>
      </c>
      <c r="K473" s="33">
        <f t="shared" si="61"/>
        <v>-46596</v>
      </c>
      <c r="L473" s="33">
        <f t="shared" si="62"/>
        <v>14392</v>
      </c>
      <c r="M473" s="34">
        <f t="shared" si="63"/>
        <v>1.675914550715862E-2</v>
      </c>
      <c r="O473" s="35"/>
      <c r="P473" s="35"/>
    </row>
    <row r="475" spans="1:16" x14ac:dyDescent="0.3">
      <c r="C475" s="35"/>
      <c r="D475" s="35"/>
      <c r="E475" s="35"/>
      <c r="F475" s="35"/>
      <c r="G475" s="35"/>
      <c r="H475" s="35"/>
    </row>
    <row r="476" spans="1:16" x14ac:dyDescent="0.3">
      <c r="C476" s="35"/>
      <c r="D476" s="35"/>
      <c r="E476" s="35"/>
      <c r="F476" s="35"/>
      <c r="G476" s="35"/>
      <c r="H476" s="35"/>
    </row>
    <row r="477" spans="1:16" x14ac:dyDescent="0.3">
      <c r="B477" s="528" t="s">
        <v>4</v>
      </c>
      <c r="C477" s="537" t="s">
        <v>5</v>
      </c>
      <c r="D477" s="538"/>
      <c r="E477" s="539"/>
      <c r="F477" s="532" t="s">
        <v>6</v>
      </c>
      <c r="G477" s="532"/>
      <c r="H477" s="532"/>
      <c r="I477" s="8"/>
      <c r="J477" s="8"/>
      <c r="L477" s="524" t="s">
        <v>10</v>
      </c>
      <c r="M477" s="525"/>
    </row>
    <row r="478" spans="1:16" x14ac:dyDescent="0.3">
      <c r="B478" s="529"/>
      <c r="C478" s="6" t="s">
        <v>7</v>
      </c>
      <c r="D478" s="6" t="s">
        <v>8</v>
      </c>
      <c r="E478" s="6" t="s">
        <v>9</v>
      </c>
      <c r="F478" s="7" t="s">
        <v>7</v>
      </c>
      <c r="G478" s="7" t="s">
        <v>8</v>
      </c>
      <c r="H478" s="7" t="s">
        <v>9</v>
      </c>
      <c r="I478" s="8"/>
      <c r="J478" s="6" t="s">
        <v>19</v>
      </c>
      <c r="K478" s="6" t="s">
        <v>20</v>
      </c>
      <c r="L478" s="526"/>
      <c r="M478" s="527"/>
    </row>
    <row r="479" spans="1:16" x14ac:dyDescent="0.3">
      <c r="A479" s="530">
        <v>40237</v>
      </c>
      <c r="B479" s="9" t="s">
        <v>11</v>
      </c>
      <c r="C479" s="48"/>
      <c r="D479" s="48"/>
      <c r="E479" s="48"/>
      <c r="F479" s="49"/>
      <c r="G479" s="49"/>
      <c r="H479" s="49"/>
      <c r="I479" s="12"/>
      <c r="J479" s="24"/>
      <c r="K479" s="24"/>
      <c r="L479" s="24"/>
      <c r="M479" s="24"/>
    </row>
    <row r="480" spans="1:16" x14ac:dyDescent="0.3">
      <c r="A480" s="531"/>
      <c r="B480" s="50" t="s">
        <v>12</v>
      </c>
      <c r="C480" s="25">
        <v>73246</v>
      </c>
      <c r="D480" s="25">
        <v>384245</v>
      </c>
      <c r="E480" s="25">
        <v>457491</v>
      </c>
      <c r="F480" s="25">
        <v>1050</v>
      </c>
      <c r="G480" s="15">
        <v>931</v>
      </c>
      <c r="H480" s="25">
        <v>1981</v>
      </c>
      <c r="I480" s="16"/>
      <c r="J480" s="27">
        <f t="shared" ref="J480:J487" si="64">C480-C466</f>
        <v>8156</v>
      </c>
      <c r="K480" s="27">
        <f t="shared" ref="K480:K487" si="65">D480-D466</f>
        <v>4412</v>
      </c>
      <c r="L480" s="27">
        <f t="shared" ref="L480:L487" si="66">E480-E466</f>
        <v>12568</v>
      </c>
      <c r="M480" s="28">
        <f t="shared" ref="M480:M487" si="67">L480/E466</f>
        <v>2.8247584413482782E-2</v>
      </c>
      <c r="O480" s="35">
        <f t="shared" ref="O480:O487" si="68">SUM(C480:D480)-E480</f>
        <v>0</v>
      </c>
      <c r="P480" s="35">
        <f t="shared" ref="P480:P487" si="69">SUM(F480:G480)-H480</f>
        <v>0</v>
      </c>
    </row>
    <row r="481" spans="1:16" x14ac:dyDescent="0.3">
      <c r="A481" s="531"/>
      <c r="B481" s="50" t="s">
        <v>13</v>
      </c>
      <c r="C481" s="25">
        <v>23059</v>
      </c>
      <c r="D481" s="25">
        <v>71181</v>
      </c>
      <c r="E481" s="25">
        <v>94240</v>
      </c>
      <c r="F481" s="15">
        <v>192</v>
      </c>
      <c r="G481" s="15">
        <v>154</v>
      </c>
      <c r="H481" s="25">
        <v>346</v>
      </c>
      <c r="I481" s="16"/>
      <c r="J481" s="27">
        <f t="shared" si="64"/>
        <v>6307</v>
      </c>
      <c r="K481" s="27">
        <f t="shared" si="65"/>
        <v>6189</v>
      </c>
      <c r="L481" s="27">
        <f t="shared" si="66"/>
        <v>12496</v>
      </c>
      <c r="M481" s="28">
        <f t="shared" si="67"/>
        <v>0.15286748874535133</v>
      </c>
      <c r="O481" s="35">
        <f t="shared" si="68"/>
        <v>0</v>
      </c>
      <c r="P481" s="35">
        <f t="shared" si="69"/>
        <v>0</v>
      </c>
    </row>
    <row r="482" spans="1:16" x14ac:dyDescent="0.3">
      <c r="A482" s="531"/>
      <c r="B482" s="50" t="s">
        <v>14</v>
      </c>
      <c r="C482" s="25">
        <v>26572</v>
      </c>
      <c r="D482" s="25">
        <v>79973</v>
      </c>
      <c r="E482" s="25">
        <v>106545</v>
      </c>
      <c r="F482" s="15">
        <v>102</v>
      </c>
      <c r="G482" s="15">
        <v>51</v>
      </c>
      <c r="H482" s="15">
        <v>153</v>
      </c>
      <c r="I482" s="16"/>
      <c r="J482" s="27">
        <f t="shared" si="64"/>
        <v>25536</v>
      </c>
      <c r="K482" s="27">
        <f t="shared" si="65"/>
        <v>-10229</v>
      </c>
      <c r="L482" s="27">
        <f t="shared" si="66"/>
        <v>15307</v>
      </c>
      <c r="M482" s="28">
        <f t="shared" si="67"/>
        <v>0.16777000811065565</v>
      </c>
      <c r="O482" s="35">
        <f t="shared" si="68"/>
        <v>0</v>
      </c>
      <c r="P482" s="35">
        <f t="shared" si="69"/>
        <v>0</v>
      </c>
    </row>
    <row r="483" spans="1:16" x14ac:dyDescent="0.3">
      <c r="A483" s="531"/>
      <c r="B483" s="50" t="s">
        <v>15</v>
      </c>
      <c r="C483" s="25">
        <v>33048</v>
      </c>
      <c r="D483" s="25">
        <v>155549</v>
      </c>
      <c r="E483" s="25">
        <v>188597</v>
      </c>
      <c r="F483" s="15">
        <v>618</v>
      </c>
      <c r="G483" s="15">
        <v>793</v>
      </c>
      <c r="H483" s="25">
        <v>1411</v>
      </c>
      <c r="I483" s="16"/>
      <c r="J483" s="27">
        <f t="shared" si="64"/>
        <v>13356</v>
      </c>
      <c r="K483" s="27">
        <f t="shared" si="65"/>
        <v>0</v>
      </c>
      <c r="L483" s="27">
        <f t="shared" si="66"/>
        <v>13356</v>
      </c>
      <c r="M483" s="28">
        <f t="shared" si="67"/>
        <v>7.6215041000679065E-2</v>
      </c>
      <c r="O483" s="35">
        <f t="shared" si="68"/>
        <v>0</v>
      </c>
      <c r="P483" s="35">
        <f t="shared" si="69"/>
        <v>0</v>
      </c>
    </row>
    <row r="484" spans="1:16" x14ac:dyDescent="0.3">
      <c r="A484" s="531"/>
      <c r="B484" s="51" t="s">
        <v>17</v>
      </c>
      <c r="C484" s="22">
        <v>155925</v>
      </c>
      <c r="D484" s="22">
        <v>690948</v>
      </c>
      <c r="E484" s="22">
        <v>846873</v>
      </c>
      <c r="F484" s="22">
        <v>1962</v>
      </c>
      <c r="G484" s="22">
        <v>1929</v>
      </c>
      <c r="H484" s="22">
        <v>3891</v>
      </c>
      <c r="I484" s="23"/>
      <c r="J484" s="29">
        <f t="shared" si="64"/>
        <v>53355</v>
      </c>
      <c r="K484" s="29">
        <f t="shared" si="65"/>
        <v>372</v>
      </c>
      <c r="L484" s="29">
        <f t="shared" si="66"/>
        <v>53727</v>
      </c>
      <c r="M484" s="30">
        <f t="shared" si="67"/>
        <v>6.7739104780204396E-2</v>
      </c>
      <c r="O484" s="35">
        <f t="shared" si="68"/>
        <v>0</v>
      </c>
      <c r="P484" s="35">
        <f t="shared" si="69"/>
        <v>0</v>
      </c>
    </row>
    <row r="485" spans="1:16" x14ac:dyDescent="0.3">
      <c r="A485" s="531"/>
      <c r="B485" s="50" t="s">
        <v>2</v>
      </c>
      <c r="C485" s="25">
        <v>26799</v>
      </c>
      <c r="D485" s="25">
        <v>26968</v>
      </c>
      <c r="E485" s="25">
        <v>53767</v>
      </c>
      <c r="F485" s="15">
        <v>14</v>
      </c>
      <c r="G485" s="15">
        <v>13</v>
      </c>
      <c r="H485" s="15">
        <v>27</v>
      </c>
      <c r="I485" s="16"/>
      <c r="J485" s="27">
        <f t="shared" si="64"/>
        <v>314</v>
      </c>
      <c r="K485" s="27">
        <f t="shared" si="65"/>
        <v>-3829</v>
      </c>
      <c r="L485" s="27">
        <f t="shared" si="66"/>
        <v>-3515</v>
      </c>
      <c r="M485" s="28">
        <f t="shared" si="67"/>
        <v>-6.1363080898013338E-2</v>
      </c>
      <c r="O485" s="35">
        <f t="shared" si="68"/>
        <v>0</v>
      </c>
      <c r="P485" s="35">
        <f t="shared" si="69"/>
        <v>0</v>
      </c>
    </row>
    <row r="486" spans="1:16" x14ac:dyDescent="0.3">
      <c r="A486" s="531"/>
      <c r="B486" s="50" t="s">
        <v>18</v>
      </c>
      <c r="C486" s="25">
        <v>0</v>
      </c>
      <c r="D486" s="25">
        <v>22228</v>
      </c>
      <c r="E486" s="25">
        <v>22228</v>
      </c>
      <c r="F486" s="15">
        <v>0</v>
      </c>
      <c r="G486" s="15">
        <v>31</v>
      </c>
      <c r="H486" s="15">
        <v>31</v>
      </c>
      <c r="I486" s="16"/>
      <c r="J486" s="27">
        <f t="shared" si="64"/>
        <v>-3232</v>
      </c>
      <c r="K486" s="27">
        <f t="shared" si="65"/>
        <v>2741</v>
      </c>
      <c r="L486" s="27">
        <f t="shared" si="66"/>
        <v>-491</v>
      </c>
      <c r="M486" s="28">
        <f t="shared" si="67"/>
        <v>-2.1611866719485891E-2</v>
      </c>
      <c r="O486" s="35">
        <f t="shared" si="68"/>
        <v>0</v>
      </c>
      <c r="P486" s="35">
        <f t="shared" si="69"/>
        <v>0</v>
      </c>
    </row>
    <row r="487" spans="1:16" x14ac:dyDescent="0.3">
      <c r="A487" s="531"/>
      <c r="B487" s="51" t="s">
        <v>9</v>
      </c>
      <c r="C487" s="22">
        <v>182724</v>
      </c>
      <c r="D487" s="22">
        <v>740144</v>
      </c>
      <c r="E487" s="22">
        <v>922868</v>
      </c>
      <c r="F487" s="22">
        <v>1976</v>
      </c>
      <c r="G487" s="22">
        <v>1973</v>
      </c>
      <c r="H487" s="22">
        <v>3949</v>
      </c>
      <c r="I487" s="23"/>
      <c r="J487" s="33">
        <f t="shared" si="64"/>
        <v>50437</v>
      </c>
      <c r="K487" s="33">
        <f t="shared" si="65"/>
        <v>-716</v>
      </c>
      <c r="L487" s="33">
        <f t="shared" si="66"/>
        <v>49721</v>
      </c>
      <c r="M487" s="34">
        <f t="shared" si="67"/>
        <v>5.6944592376770464E-2</v>
      </c>
      <c r="O487" s="35">
        <f t="shared" si="68"/>
        <v>0</v>
      </c>
      <c r="P487" s="35">
        <f t="shared" si="69"/>
        <v>0</v>
      </c>
    </row>
    <row r="489" spans="1:16" x14ac:dyDescent="0.3">
      <c r="C489" s="35">
        <f t="shared" ref="C489:H489" si="70">SUM(C480:C483)-C484</f>
        <v>0</v>
      </c>
      <c r="D489" s="35">
        <f t="shared" si="70"/>
        <v>0</v>
      </c>
      <c r="E489" s="35">
        <f t="shared" si="70"/>
        <v>0</v>
      </c>
      <c r="F489" s="35">
        <f t="shared" si="70"/>
        <v>0</v>
      </c>
      <c r="G489" s="35">
        <f t="shared" si="70"/>
        <v>0</v>
      </c>
      <c r="H489" s="35">
        <f t="shared" si="70"/>
        <v>0</v>
      </c>
    </row>
    <row r="490" spans="1:16" x14ac:dyDescent="0.3">
      <c r="C490" s="35">
        <f t="shared" ref="C490:H490" si="71">SUM(C484:C486)-C487</f>
        <v>0</v>
      </c>
      <c r="D490" s="35">
        <f t="shared" si="71"/>
        <v>0</v>
      </c>
      <c r="E490" s="35">
        <f t="shared" si="71"/>
        <v>0</v>
      </c>
      <c r="F490" s="35">
        <f t="shared" si="71"/>
        <v>0</v>
      </c>
      <c r="G490" s="35">
        <f t="shared" si="71"/>
        <v>0</v>
      </c>
      <c r="H490" s="35">
        <f t="shared" si="71"/>
        <v>0</v>
      </c>
    </row>
  </sheetData>
  <mergeCells count="138">
    <mergeCell ref="A479:A487"/>
    <mergeCell ref="B477:B478"/>
    <mergeCell ref="C477:E477"/>
    <mergeCell ref="B449:B450"/>
    <mergeCell ref="F477:H477"/>
    <mergeCell ref="L477:M478"/>
    <mergeCell ref="B463:B464"/>
    <mergeCell ref="F463:H463"/>
    <mergeCell ref="L463:M464"/>
    <mergeCell ref="A465:A473"/>
    <mergeCell ref="C463:E463"/>
    <mergeCell ref="A451:A459"/>
    <mergeCell ref="A437:A445"/>
    <mergeCell ref="L393:M394"/>
    <mergeCell ref="A395:A403"/>
    <mergeCell ref="B379:B380"/>
    <mergeCell ref="F379:H379"/>
    <mergeCell ref="L379:M380"/>
    <mergeCell ref="A381:A389"/>
    <mergeCell ref="F449:H449"/>
    <mergeCell ref="L449:M450"/>
    <mergeCell ref="B435:B436"/>
    <mergeCell ref="F435:H435"/>
    <mergeCell ref="L435:M436"/>
    <mergeCell ref="B407:B408"/>
    <mergeCell ref="F407:H407"/>
    <mergeCell ref="L407:M408"/>
    <mergeCell ref="L421:M422"/>
    <mergeCell ref="B421:B422"/>
    <mergeCell ref="A235:A246"/>
    <mergeCell ref="A252:A263"/>
    <mergeCell ref="B267:B268"/>
    <mergeCell ref="B337:B338"/>
    <mergeCell ref="L337:M338"/>
    <mergeCell ref="B309:B310"/>
    <mergeCell ref="F309:H309"/>
    <mergeCell ref="L309:M310"/>
    <mergeCell ref="F250:H250"/>
    <mergeCell ref="L250:M251"/>
    <mergeCell ref="L323:M324"/>
    <mergeCell ref="A325:A333"/>
    <mergeCell ref="A297:A305"/>
    <mergeCell ref="A311:A319"/>
    <mergeCell ref="F267:H267"/>
    <mergeCell ref="L267:M268"/>
    <mergeCell ref="A269:A277"/>
    <mergeCell ref="B281:B282"/>
    <mergeCell ref="F281:H281"/>
    <mergeCell ref="L281:M282"/>
    <mergeCell ref="A150:A161"/>
    <mergeCell ref="B148:B149"/>
    <mergeCell ref="F148:H148"/>
    <mergeCell ref="C115:E115"/>
    <mergeCell ref="L115:M116"/>
    <mergeCell ref="B233:B234"/>
    <mergeCell ref="F233:H233"/>
    <mergeCell ref="A53:A64"/>
    <mergeCell ref="B67:B68"/>
    <mergeCell ref="B165:B166"/>
    <mergeCell ref="F165:H165"/>
    <mergeCell ref="B115:B116"/>
    <mergeCell ref="F115:H115"/>
    <mergeCell ref="A218:A229"/>
    <mergeCell ref="A201:A212"/>
    <mergeCell ref="L216:M217"/>
    <mergeCell ref="B199:B200"/>
    <mergeCell ref="F199:H199"/>
    <mergeCell ref="L199:M200"/>
    <mergeCell ref="L233:M234"/>
    <mergeCell ref="L4:M4"/>
    <mergeCell ref="A133:A144"/>
    <mergeCell ref="B131:B132"/>
    <mergeCell ref="C131:E131"/>
    <mergeCell ref="F131:H131"/>
    <mergeCell ref="A5:A16"/>
    <mergeCell ref="B3:B4"/>
    <mergeCell ref="C3:E3"/>
    <mergeCell ref="F3:H3"/>
    <mergeCell ref="F19:H19"/>
    <mergeCell ref="F51:H51"/>
    <mergeCell ref="L20:M20"/>
    <mergeCell ref="B19:B20"/>
    <mergeCell ref="C19:E19"/>
    <mergeCell ref="A37:A48"/>
    <mergeCell ref="F99:H99"/>
    <mergeCell ref="C35:E35"/>
    <mergeCell ref="C51:E51"/>
    <mergeCell ref="C67:E67"/>
    <mergeCell ref="B51:B52"/>
    <mergeCell ref="B35:B36"/>
    <mergeCell ref="F35:H35"/>
    <mergeCell ref="L99:M100"/>
    <mergeCell ref="L84:M84"/>
    <mergeCell ref="A21:A32"/>
    <mergeCell ref="B182:B183"/>
    <mergeCell ref="F182:H182"/>
    <mergeCell ref="L182:M183"/>
    <mergeCell ref="A184:A195"/>
    <mergeCell ref="B250:B251"/>
    <mergeCell ref="B216:B217"/>
    <mergeCell ref="F216:H216"/>
    <mergeCell ref="L52:M52"/>
    <mergeCell ref="F67:H67"/>
    <mergeCell ref="L68:M68"/>
    <mergeCell ref="F83:H83"/>
    <mergeCell ref="L131:M132"/>
    <mergeCell ref="L165:M166"/>
    <mergeCell ref="L36:M36"/>
    <mergeCell ref="A117:A128"/>
    <mergeCell ref="C99:E99"/>
    <mergeCell ref="A101:A112"/>
    <mergeCell ref="A85:A96"/>
    <mergeCell ref="C83:E83"/>
    <mergeCell ref="A167:A178"/>
    <mergeCell ref="A69:A80"/>
    <mergeCell ref="B83:B84"/>
    <mergeCell ref="L148:M149"/>
    <mergeCell ref="L365:M366"/>
    <mergeCell ref="B295:B296"/>
    <mergeCell ref="L295:M296"/>
    <mergeCell ref="A353:A361"/>
    <mergeCell ref="F337:H337"/>
    <mergeCell ref="A423:A431"/>
    <mergeCell ref="A283:A291"/>
    <mergeCell ref="B323:B324"/>
    <mergeCell ref="F323:H323"/>
    <mergeCell ref="F421:H421"/>
    <mergeCell ref="F295:H295"/>
    <mergeCell ref="A367:A375"/>
    <mergeCell ref="A409:A417"/>
    <mergeCell ref="B351:B352"/>
    <mergeCell ref="F351:H351"/>
    <mergeCell ref="B365:B366"/>
    <mergeCell ref="F365:H365"/>
    <mergeCell ref="B393:B394"/>
    <mergeCell ref="F393:H393"/>
    <mergeCell ref="L351:M352"/>
    <mergeCell ref="A339:A347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AG44"/>
  <sheetViews>
    <sheetView workbookViewId="0"/>
  </sheetViews>
  <sheetFormatPr defaultRowHeight="12.75" x14ac:dyDescent="0.2"/>
  <cols>
    <col min="1" max="1" width="8.140625" bestFit="1" customWidth="1"/>
    <col min="2" max="33" width="9.7109375" bestFit="1" customWidth="1"/>
  </cols>
  <sheetData>
    <row r="1" spans="1:33" x14ac:dyDescent="0.2">
      <c r="A1" s="2"/>
      <c r="B1" s="3">
        <v>39264</v>
      </c>
      <c r="C1" s="3">
        <v>39295</v>
      </c>
      <c r="D1" s="3">
        <v>39326</v>
      </c>
      <c r="E1" s="3">
        <v>39356</v>
      </c>
      <c r="F1" s="3">
        <v>39387</v>
      </c>
      <c r="G1" s="3">
        <v>39417</v>
      </c>
      <c r="H1" s="3">
        <v>39448</v>
      </c>
      <c r="I1" s="3">
        <v>39479</v>
      </c>
      <c r="J1" s="3">
        <v>39508</v>
      </c>
      <c r="K1" s="3">
        <v>39539</v>
      </c>
      <c r="L1" s="3">
        <v>39569</v>
      </c>
      <c r="M1" s="3">
        <v>39600</v>
      </c>
      <c r="N1" s="3">
        <v>39630</v>
      </c>
      <c r="O1" s="3">
        <v>39661</v>
      </c>
      <c r="P1" s="3">
        <v>39692</v>
      </c>
      <c r="Q1" s="3">
        <v>39722</v>
      </c>
      <c r="R1" s="3">
        <v>39753</v>
      </c>
      <c r="S1" s="3">
        <v>39783</v>
      </c>
      <c r="T1" s="3">
        <v>39814</v>
      </c>
      <c r="U1" s="3">
        <v>39845</v>
      </c>
      <c r="V1" s="3">
        <v>39873</v>
      </c>
      <c r="W1" s="3">
        <v>39904</v>
      </c>
      <c r="X1" s="3">
        <v>39934</v>
      </c>
      <c r="Y1" s="3">
        <v>39965</v>
      </c>
      <c r="Z1" s="3">
        <v>39995</v>
      </c>
      <c r="AA1" s="3">
        <v>40026</v>
      </c>
      <c r="AB1" s="3">
        <v>40057</v>
      </c>
      <c r="AC1" s="3">
        <v>40087</v>
      </c>
      <c r="AD1" s="3">
        <v>40118</v>
      </c>
      <c r="AE1" s="3">
        <v>40148</v>
      </c>
      <c r="AF1" s="1">
        <v>40179</v>
      </c>
      <c r="AG1" s="1">
        <v>40210</v>
      </c>
    </row>
    <row r="2" spans="1:33" x14ac:dyDescent="0.2">
      <c r="A2" s="4" t="s">
        <v>29</v>
      </c>
      <c r="B2" s="52">
        <v>53488</v>
      </c>
      <c r="C2" s="52">
        <v>36280</v>
      </c>
      <c r="D2" s="52">
        <v>43028</v>
      </c>
      <c r="E2" s="52">
        <v>41609</v>
      </c>
      <c r="F2" s="52">
        <v>32336</v>
      </c>
      <c r="G2" s="52">
        <v>46711</v>
      </c>
      <c r="H2" s="52">
        <v>46287</v>
      </c>
      <c r="I2" s="52">
        <v>47788</v>
      </c>
      <c r="J2" s="52">
        <v>40463</v>
      </c>
      <c r="K2" s="52">
        <v>43694</v>
      </c>
      <c r="L2" s="52">
        <v>39567</v>
      </c>
      <c r="M2" s="52">
        <v>38649</v>
      </c>
      <c r="N2" s="52">
        <v>42488</v>
      </c>
      <c r="O2" s="52">
        <v>42970</v>
      </c>
      <c r="P2" s="52">
        <v>44764</v>
      </c>
      <c r="Q2" s="52">
        <v>37689</v>
      </c>
      <c r="R2" s="52">
        <v>43328</v>
      </c>
      <c r="S2" s="52">
        <v>36955</v>
      </c>
      <c r="T2" s="52">
        <v>42681</v>
      </c>
      <c r="U2" s="52">
        <v>20658</v>
      </c>
      <c r="V2" s="52">
        <v>26693</v>
      </c>
      <c r="W2" s="52">
        <v>37932</v>
      </c>
      <c r="X2" s="52">
        <v>90987</v>
      </c>
      <c r="Y2" s="52">
        <v>66011</v>
      </c>
      <c r="Z2" s="52">
        <v>26371</v>
      </c>
      <c r="AA2" s="52">
        <v>33651</v>
      </c>
      <c r="AB2" s="52">
        <v>64378</v>
      </c>
      <c r="AC2" s="52">
        <v>58084</v>
      </c>
      <c r="AD2" s="52">
        <v>81126</v>
      </c>
      <c r="AE2" s="52">
        <v>74517</v>
      </c>
      <c r="AF2" s="52">
        <v>70375</v>
      </c>
      <c r="AG2" s="52">
        <v>76222</v>
      </c>
    </row>
    <row r="11" spans="1:33" x14ac:dyDescent="0.2">
      <c r="R11" s="52"/>
      <c r="S11" s="52"/>
      <c r="T11" s="52"/>
    </row>
    <row r="12" spans="1:33" x14ac:dyDescent="0.2">
      <c r="R12" s="52"/>
      <c r="S12" s="52"/>
      <c r="T12" s="52"/>
      <c r="U12" s="52"/>
    </row>
    <row r="13" spans="1:33" x14ac:dyDescent="0.2">
      <c r="R13" s="52"/>
      <c r="S13" s="52"/>
      <c r="T13" s="52"/>
      <c r="U13" s="52"/>
    </row>
    <row r="14" spans="1:33" x14ac:dyDescent="0.2">
      <c r="R14" s="52"/>
      <c r="S14" s="52"/>
      <c r="T14" s="52"/>
      <c r="U14" s="52"/>
    </row>
    <row r="15" spans="1:33" x14ac:dyDescent="0.2">
      <c r="R15" s="52"/>
      <c r="S15" s="52"/>
      <c r="T15" s="52"/>
      <c r="U15" s="52"/>
    </row>
    <row r="16" spans="1:33" x14ac:dyDescent="0.2">
      <c r="R16" s="52"/>
      <c r="S16" s="52"/>
      <c r="T16" s="52"/>
      <c r="U16" s="52"/>
    </row>
    <row r="17" spans="1:33" x14ac:dyDescent="0.2">
      <c r="R17" s="52"/>
      <c r="S17" s="52"/>
      <c r="T17" s="52"/>
      <c r="U17" s="52"/>
    </row>
    <row r="18" spans="1:33" x14ac:dyDescent="0.2">
      <c r="S18" s="52"/>
      <c r="T18" s="52"/>
      <c r="U18" s="52"/>
    </row>
    <row r="19" spans="1:33" x14ac:dyDescent="0.2">
      <c r="S19" s="52"/>
      <c r="U19" s="52"/>
    </row>
    <row r="20" spans="1:33" x14ac:dyDescent="0.2">
      <c r="S20" s="52"/>
      <c r="U20" s="52"/>
    </row>
    <row r="21" spans="1:33" x14ac:dyDescent="0.2">
      <c r="S21" s="52"/>
      <c r="U21" s="52"/>
    </row>
    <row r="22" spans="1:33" x14ac:dyDescent="0.2">
      <c r="S22" s="52"/>
      <c r="U22" s="52"/>
    </row>
    <row r="23" spans="1:33" x14ac:dyDescent="0.2">
      <c r="S23" s="52"/>
      <c r="U23" s="52"/>
    </row>
    <row r="24" spans="1:33" x14ac:dyDescent="0.2">
      <c r="S24" s="52"/>
    </row>
    <row r="25" spans="1:33" x14ac:dyDescent="0.2">
      <c r="S25" s="52"/>
    </row>
    <row r="26" spans="1:33" x14ac:dyDescent="0.2">
      <c r="S26" s="52"/>
    </row>
    <row r="32" spans="1:33" x14ac:dyDescent="0.2">
      <c r="A32" s="2"/>
      <c r="B32" s="3">
        <v>39264</v>
      </c>
      <c r="C32" s="3">
        <v>39295</v>
      </c>
      <c r="D32" s="3">
        <v>39326</v>
      </c>
      <c r="E32" s="3">
        <v>39356</v>
      </c>
      <c r="F32" s="3">
        <v>39387</v>
      </c>
      <c r="G32" s="3">
        <v>39417</v>
      </c>
      <c r="H32" s="3">
        <v>39448</v>
      </c>
      <c r="I32" s="3">
        <v>39479</v>
      </c>
      <c r="J32" s="3">
        <v>39508</v>
      </c>
      <c r="K32" s="3">
        <v>39539</v>
      </c>
      <c r="L32" s="3">
        <v>39569</v>
      </c>
      <c r="M32" s="3">
        <v>39600</v>
      </c>
      <c r="N32" s="3">
        <v>39630</v>
      </c>
      <c r="O32" s="3">
        <v>39661</v>
      </c>
      <c r="P32" s="3">
        <v>39692</v>
      </c>
      <c r="Q32" s="3">
        <v>39722</v>
      </c>
      <c r="R32" s="3">
        <v>39753</v>
      </c>
      <c r="S32" s="3">
        <v>39783</v>
      </c>
      <c r="T32" s="3">
        <v>39814</v>
      </c>
      <c r="U32" s="3">
        <v>39845</v>
      </c>
      <c r="V32" s="3">
        <v>39873</v>
      </c>
      <c r="W32" s="3">
        <v>39904</v>
      </c>
      <c r="X32" s="3">
        <v>39934</v>
      </c>
      <c r="Y32" s="3">
        <v>39965</v>
      </c>
      <c r="Z32" s="3">
        <v>39995</v>
      </c>
      <c r="AA32" s="3">
        <v>40026</v>
      </c>
      <c r="AB32" s="3">
        <v>40057</v>
      </c>
      <c r="AC32" s="3">
        <v>40087</v>
      </c>
      <c r="AD32" s="3">
        <v>40118</v>
      </c>
      <c r="AE32" s="3">
        <v>40148</v>
      </c>
      <c r="AF32" s="1">
        <v>40179</v>
      </c>
      <c r="AG32" s="1">
        <v>40210</v>
      </c>
    </row>
    <row r="33" spans="1:33" x14ac:dyDescent="0.2">
      <c r="A33" s="4" t="s">
        <v>30</v>
      </c>
      <c r="B33" s="52">
        <v>602</v>
      </c>
      <c r="C33" s="52">
        <v>781</v>
      </c>
      <c r="D33" s="52">
        <v>1115</v>
      </c>
      <c r="E33" s="52">
        <v>1587</v>
      </c>
      <c r="F33" s="52">
        <v>307</v>
      </c>
      <c r="G33" s="52">
        <v>2050</v>
      </c>
      <c r="H33" s="52">
        <v>0</v>
      </c>
      <c r="I33" s="52">
        <v>1334</v>
      </c>
      <c r="J33" s="52">
        <v>784</v>
      </c>
      <c r="K33" s="52">
        <v>1914</v>
      </c>
      <c r="L33" s="52">
        <v>2603</v>
      </c>
      <c r="M33" s="52">
        <v>383</v>
      </c>
      <c r="N33" s="52">
        <v>874</v>
      </c>
      <c r="O33" s="52">
        <v>386</v>
      </c>
      <c r="P33" s="52">
        <v>707</v>
      </c>
      <c r="Q33" s="52">
        <v>0</v>
      </c>
      <c r="R33" s="52">
        <v>1156</v>
      </c>
      <c r="S33" s="52">
        <v>1362</v>
      </c>
      <c r="T33" s="52">
        <v>1687</v>
      </c>
      <c r="U33" s="52">
        <v>2946</v>
      </c>
      <c r="V33" s="52">
        <v>1970</v>
      </c>
      <c r="W33" s="52">
        <v>5151</v>
      </c>
      <c r="X33" s="52">
        <v>4054</v>
      </c>
      <c r="Y33" s="52">
        <v>1797</v>
      </c>
      <c r="Z33" s="52">
        <v>6672</v>
      </c>
      <c r="AA33" s="52">
        <v>4457</v>
      </c>
      <c r="AB33" s="52">
        <v>5988</v>
      </c>
      <c r="AC33" s="52">
        <v>5290</v>
      </c>
      <c r="AD33" s="52">
        <v>3374</v>
      </c>
      <c r="AE33" s="52">
        <v>6647</v>
      </c>
      <c r="AF33" s="52">
        <v>3841</v>
      </c>
      <c r="AG33" s="52">
        <v>2249</v>
      </c>
    </row>
    <row r="34" spans="1:33" x14ac:dyDescent="0.2">
      <c r="A34" s="4" t="s">
        <v>31</v>
      </c>
      <c r="B34" s="52">
        <v>1437</v>
      </c>
      <c r="C34" s="52">
        <v>117</v>
      </c>
      <c r="D34" s="52">
        <v>214</v>
      </c>
      <c r="E34" s="52">
        <v>516</v>
      </c>
      <c r="F34" s="52">
        <v>159</v>
      </c>
      <c r="G34" s="52">
        <v>170</v>
      </c>
      <c r="H34" s="52">
        <v>0</v>
      </c>
      <c r="I34" s="52">
        <v>0</v>
      </c>
      <c r="J34" s="52">
        <v>0</v>
      </c>
      <c r="K34" s="52">
        <v>1401</v>
      </c>
      <c r="L34" s="52">
        <v>1720</v>
      </c>
      <c r="M34" s="52">
        <v>2924</v>
      </c>
      <c r="N34" s="52">
        <v>877</v>
      </c>
      <c r="O34" s="52">
        <v>1610</v>
      </c>
      <c r="P34" s="52">
        <v>398</v>
      </c>
      <c r="Q34" s="52">
        <v>2969</v>
      </c>
      <c r="R34" s="52">
        <v>1215</v>
      </c>
      <c r="S34" s="52">
        <v>2827</v>
      </c>
      <c r="T34" s="52">
        <v>2214</v>
      </c>
      <c r="U34" s="52">
        <v>5910</v>
      </c>
      <c r="V34" s="52">
        <v>2322</v>
      </c>
      <c r="W34" s="52">
        <v>4704</v>
      </c>
      <c r="X34" s="52">
        <v>7804</v>
      </c>
      <c r="Y34" s="52">
        <v>3444</v>
      </c>
      <c r="Z34" s="52">
        <v>4362</v>
      </c>
      <c r="AA34" s="52">
        <v>2825</v>
      </c>
      <c r="AB34" s="52">
        <v>4009</v>
      </c>
      <c r="AC34" s="52">
        <v>6071</v>
      </c>
      <c r="AD34" s="52">
        <v>1838</v>
      </c>
      <c r="AE34" s="52">
        <v>5051</v>
      </c>
      <c r="AF34" s="52">
        <v>10123</v>
      </c>
      <c r="AG34" s="52">
        <v>2434</v>
      </c>
    </row>
    <row r="35" spans="1:33" x14ac:dyDescent="0.2">
      <c r="C35" s="52"/>
      <c r="E35" s="52"/>
      <c r="G35" s="52"/>
    </row>
    <row r="36" spans="1:33" x14ac:dyDescent="0.2">
      <c r="C36" s="52"/>
      <c r="E36" s="52"/>
      <c r="G36" s="52"/>
    </row>
    <row r="37" spans="1:33" x14ac:dyDescent="0.2">
      <c r="C37" s="52"/>
      <c r="E37" s="52"/>
      <c r="G37" s="52"/>
    </row>
    <row r="38" spans="1:33" x14ac:dyDescent="0.2">
      <c r="C38" s="52"/>
      <c r="E38" s="52"/>
      <c r="G38" s="52"/>
    </row>
    <row r="39" spans="1:33" x14ac:dyDescent="0.2">
      <c r="C39" s="52"/>
      <c r="E39" s="52"/>
      <c r="G39" s="52"/>
    </row>
    <row r="40" spans="1:33" x14ac:dyDescent="0.2">
      <c r="C40" s="52"/>
      <c r="E40" s="52"/>
      <c r="G40" s="52"/>
    </row>
    <row r="41" spans="1:33" x14ac:dyDescent="0.2">
      <c r="C41" s="52"/>
      <c r="E41" s="52"/>
      <c r="G41" s="52"/>
    </row>
    <row r="42" spans="1:33" x14ac:dyDescent="0.2">
      <c r="C42" s="52"/>
      <c r="E42" s="52"/>
      <c r="G42" s="52"/>
    </row>
    <row r="43" spans="1:33" x14ac:dyDescent="0.2">
      <c r="C43" s="52"/>
      <c r="E43" s="52"/>
      <c r="G43" s="52"/>
    </row>
    <row r="44" spans="1:33" x14ac:dyDescent="0.2">
      <c r="E44" s="52"/>
    </row>
  </sheetData>
  <phoneticPr fontId="3" type="noConversion"/>
  <pageMargins left="0.75" right="0.75" top="1" bottom="1" header="0.5" footer="0.5"/>
  <headerFooter alignWithMargins="0"/>
  <drawing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S47"/>
  <sheetViews>
    <sheetView workbookViewId="0"/>
  </sheetViews>
  <sheetFormatPr defaultColWidth="9.140625" defaultRowHeight="15" x14ac:dyDescent="0.25"/>
  <cols>
    <col min="1" max="1" width="10.7109375" style="336" bestFit="1" customWidth="1"/>
    <col min="2" max="2" width="14.140625" style="336" bestFit="1" customWidth="1"/>
    <col min="3" max="6" width="11.42578125" style="336" bestFit="1" customWidth="1"/>
    <col min="7" max="7" width="5" style="336" bestFit="1" customWidth="1"/>
    <col min="8" max="11" width="9.140625" style="336"/>
    <col min="12" max="12" width="13.42578125" style="336" bestFit="1" customWidth="1"/>
    <col min="13" max="19" width="10.7109375" style="336" bestFit="1" customWidth="1"/>
    <col min="20" max="16384" width="9.140625" style="336"/>
  </cols>
  <sheetData>
    <row r="1" spans="1:19" x14ac:dyDescent="0.25">
      <c r="A1" s="336" t="s">
        <v>32</v>
      </c>
      <c r="B1" s="336" t="s">
        <v>343</v>
      </c>
      <c r="C1" s="336" t="s">
        <v>34</v>
      </c>
      <c r="D1" s="336" t="s">
        <v>35</v>
      </c>
      <c r="E1" s="336" t="s">
        <v>103</v>
      </c>
      <c r="M1" s="375">
        <v>39263</v>
      </c>
      <c r="N1" s="375">
        <v>39629</v>
      </c>
      <c r="O1" s="375">
        <v>39994</v>
      </c>
      <c r="P1" s="375">
        <v>40359</v>
      </c>
      <c r="Q1" s="375">
        <v>40724</v>
      </c>
      <c r="R1" s="375">
        <v>41090</v>
      </c>
      <c r="S1" s="375">
        <v>41182</v>
      </c>
    </row>
    <row r="2" spans="1:19" x14ac:dyDescent="0.25">
      <c r="A2" s="336" t="s">
        <v>338</v>
      </c>
      <c r="B2" s="336" t="s">
        <v>21</v>
      </c>
      <c r="C2" s="370">
        <v>10306.99</v>
      </c>
      <c r="D2" s="370">
        <v>7.55</v>
      </c>
      <c r="E2" s="370">
        <v>7094.57</v>
      </c>
      <c r="F2" s="370">
        <f>SUM(C2:E2)</f>
        <v>17409.11</v>
      </c>
      <c r="L2" s="336" t="s">
        <v>352</v>
      </c>
      <c r="M2" s="376">
        <f>F45</f>
        <v>22737.31</v>
      </c>
      <c r="N2" s="376">
        <f>F39</f>
        <v>51646.41</v>
      </c>
      <c r="O2" s="376">
        <f>F33</f>
        <v>159078.43</v>
      </c>
      <c r="P2" s="376">
        <f>F26</f>
        <v>104885.35</v>
      </c>
      <c r="Q2" s="376">
        <f>F18</f>
        <v>176476.19</v>
      </c>
      <c r="R2" s="376">
        <f>F12</f>
        <v>109307.43</v>
      </c>
      <c r="S2" s="376">
        <f>F4</f>
        <v>110077.69</v>
      </c>
    </row>
    <row r="3" spans="1:19" x14ac:dyDescent="0.25">
      <c r="A3" s="336" t="s">
        <v>338</v>
      </c>
      <c r="B3" s="336" t="s">
        <v>351</v>
      </c>
      <c r="C3" s="370">
        <v>0</v>
      </c>
      <c r="D3" s="370">
        <v>0</v>
      </c>
      <c r="E3" s="370">
        <v>0</v>
      </c>
      <c r="F3" s="370">
        <f>SUM(C3:E3)</f>
        <v>0</v>
      </c>
      <c r="L3" s="336" t="s">
        <v>348</v>
      </c>
      <c r="M3" s="376">
        <f>F46</f>
        <v>336050.02</v>
      </c>
      <c r="N3" s="376">
        <f>F40</f>
        <v>546680.27</v>
      </c>
      <c r="O3" s="376">
        <f>F34</f>
        <v>606155.36</v>
      </c>
      <c r="P3" s="376">
        <f>F27</f>
        <v>676543.65</v>
      </c>
      <c r="Q3" s="376">
        <f>F19</f>
        <v>641685.82999999996</v>
      </c>
      <c r="R3" s="376">
        <f>F13</f>
        <v>714570.99</v>
      </c>
      <c r="S3" s="376">
        <f>F5</f>
        <v>675869.34</v>
      </c>
    </row>
    <row r="4" spans="1:19" x14ac:dyDescent="0.25">
      <c r="A4" s="336" t="s">
        <v>338</v>
      </c>
      <c r="B4" s="336" t="s">
        <v>345</v>
      </c>
      <c r="C4" s="370">
        <v>18290.12</v>
      </c>
      <c r="D4" s="370">
        <v>29247.99</v>
      </c>
      <c r="E4" s="370">
        <v>62539.58</v>
      </c>
      <c r="F4" s="370">
        <f>SUM(C4:E4)</f>
        <v>110077.69</v>
      </c>
      <c r="G4" s="374">
        <f>F4/SUM($F$4:$F$6)</f>
        <v>0.12003653034281399</v>
      </c>
      <c r="L4" s="336" t="s">
        <v>350</v>
      </c>
      <c r="M4" s="376">
        <f>F47</f>
        <v>108801.73000000001</v>
      </c>
      <c r="N4" s="376">
        <f>F41</f>
        <v>123026.01</v>
      </c>
      <c r="O4" s="376">
        <f>F35</f>
        <v>52365.57</v>
      </c>
      <c r="P4" s="376">
        <f>F28</f>
        <v>113066.70000000001</v>
      </c>
      <c r="Q4" s="376">
        <f>F20</f>
        <v>93963.93</v>
      </c>
      <c r="R4" s="376">
        <f>F14</f>
        <v>124698.94</v>
      </c>
      <c r="S4" s="376">
        <f>F6</f>
        <v>131087.89000000001</v>
      </c>
    </row>
    <row r="5" spans="1:19" x14ac:dyDescent="0.25">
      <c r="A5" s="336" t="s">
        <v>338</v>
      </c>
      <c r="B5" s="336" t="s">
        <v>348</v>
      </c>
      <c r="C5" s="370">
        <v>87085.68</v>
      </c>
      <c r="D5" s="370">
        <v>90671.12</v>
      </c>
      <c r="E5" s="370">
        <v>498112.54</v>
      </c>
      <c r="F5" s="370">
        <f>SUM(C5:E5)</f>
        <v>675869.34</v>
      </c>
      <c r="G5" s="374">
        <f>F5/SUM($F$4:$F$6)</f>
        <v>0.73701592519508408</v>
      </c>
      <c r="M5" s="376">
        <f>SUM(M2:M4)</f>
        <v>467589.06000000006</v>
      </c>
      <c r="N5" s="376">
        <f t="shared" ref="N5:S5" si="0">SUM(N2:N4)</f>
        <v>721352.69000000006</v>
      </c>
      <c r="O5" s="376">
        <f t="shared" si="0"/>
        <v>817599.36</v>
      </c>
      <c r="P5" s="376">
        <f t="shared" si="0"/>
        <v>894495.7</v>
      </c>
      <c r="Q5" s="376">
        <f t="shared" si="0"/>
        <v>912125.95</v>
      </c>
      <c r="R5" s="376">
        <f t="shared" si="0"/>
        <v>948577.35999999987</v>
      </c>
      <c r="S5" s="376">
        <f t="shared" si="0"/>
        <v>917034.92</v>
      </c>
    </row>
    <row r="6" spans="1:19" x14ac:dyDescent="0.25">
      <c r="A6" s="336" t="s">
        <v>338</v>
      </c>
      <c r="B6" s="336" t="s">
        <v>350</v>
      </c>
      <c r="C6" s="370">
        <v>8520.2999999999993</v>
      </c>
      <c r="D6" s="370">
        <v>41167.279999999999</v>
      </c>
      <c r="E6" s="370">
        <v>81400.31</v>
      </c>
      <c r="F6" s="370">
        <f>SUM(C6:E6)</f>
        <v>131087.89000000001</v>
      </c>
      <c r="G6" s="374">
        <f>F6/SUM($F$4:$F$6)</f>
        <v>0.14294754446210184</v>
      </c>
    </row>
    <row r="7" spans="1:19" x14ac:dyDescent="0.25">
      <c r="F7" s="370">
        <f>SUM(F2:F6)</f>
        <v>934444.03</v>
      </c>
      <c r="M7" s="375">
        <v>39263</v>
      </c>
      <c r="N7" s="375">
        <v>39629</v>
      </c>
      <c r="O7" s="375">
        <v>39994</v>
      </c>
      <c r="P7" s="375">
        <v>40359</v>
      </c>
      <c r="Q7" s="375">
        <v>40724</v>
      </c>
      <c r="R7" s="375">
        <v>41090</v>
      </c>
      <c r="S7" s="375">
        <v>41182</v>
      </c>
    </row>
    <row r="8" spans="1:19" x14ac:dyDescent="0.25">
      <c r="F8" s="370"/>
      <c r="L8" s="336" t="s">
        <v>352</v>
      </c>
      <c r="M8" s="360">
        <f>M2/M$5</f>
        <v>4.8626693704082811E-2</v>
      </c>
      <c r="N8" s="360">
        <f t="shared" ref="N8:S8" si="1">N2/N$5</f>
        <v>7.1596613856115238E-2</v>
      </c>
      <c r="O8" s="360">
        <f t="shared" si="1"/>
        <v>0.19456770367334925</v>
      </c>
      <c r="P8" s="360">
        <f t="shared" si="1"/>
        <v>0.11725640492179003</v>
      </c>
      <c r="Q8" s="360">
        <f t="shared" si="1"/>
        <v>0.19347787440977862</v>
      </c>
      <c r="R8" s="360">
        <f t="shared" si="1"/>
        <v>0.11523301589234641</v>
      </c>
      <c r="S8" s="360">
        <f t="shared" si="1"/>
        <v>0.12003653034281399</v>
      </c>
    </row>
    <row r="9" spans="1:19" x14ac:dyDescent="0.25">
      <c r="A9" s="375">
        <v>41090</v>
      </c>
      <c r="B9" s="336" t="s">
        <v>343</v>
      </c>
      <c r="C9" s="336" t="s">
        <v>34</v>
      </c>
      <c r="D9" s="336" t="s">
        <v>35</v>
      </c>
      <c r="E9" s="336" t="s">
        <v>103</v>
      </c>
      <c r="F9" s="370"/>
      <c r="L9" s="336" t="s">
        <v>348</v>
      </c>
      <c r="M9" s="360">
        <f t="shared" ref="M9:S10" si="2">M3/M$5</f>
        <v>0.71868666046207319</v>
      </c>
      <c r="N9" s="360">
        <f t="shared" si="2"/>
        <v>0.75785434445388977</v>
      </c>
      <c r="O9" s="360">
        <f t="shared" si="2"/>
        <v>0.74138433767854217</v>
      </c>
      <c r="P9" s="360">
        <f t="shared" si="2"/>
        <v>0.75634086334903572</v>
      </c>
      <c r="Q9" s="360">
        <f t="shared" si="2"/>
        <v>0.70350572747108009</v>
      </c>
      <c r="R9" s="360">
        <f t="shared" si="2"/>
        <v>0.7533080802181491</v>
      </c>
      <c r="S9" s="360">
        <f t="shared" si="2"/>
        <v>0.73701592519508408</v>
      </c>
    </row>
    <row r="10" spans="1:19" x14ac:dyDescent="0.25">
      <c r="A10" s="336" t="s">
        <v>180</v>
      </c>
      <c r="B10" s="336" t="s">
        <v>21</v>
      </c>
      <c r="C10" s="370">
        <v>16477.330000000002</v>
      </c>
      <c r="D10" s="370">
        <v>2423.48</v>
      </c>
      <c r="E10" s="370">
        <v>0</v>
      </c>
      <c r="F10" s="370"/>
      <c r="L10" s="336" t="s">
        <v>350</v>
      </c>
      <c r="M10" s="360">
        <f t="shared" si="2"/>
        <v>0.23268664583384394</v>
      </c>
      <c r="N10" s="360">
        <f t="shared" si="2"/>
        <v>0.17054904168999493</v>
      </c>
      <c r="O10" s="360">
        <f t="shared" si="2"/>
        <v>6.4047958648108527E-2</v>
      </c>
      <c r="P10" s="360">
        <f t="shared" si="2"/>
        <v>0.12640273172917435</v>
      </c>
      <c r="Q10" s="360">
        <f t="shared" si="2"/>
        <v>0.10301639811914133</v>
      </c>
      <c r="R10" s="360">
        <f t="shared" si="2"/>
        <v>0.13145890388950462</v>
      </c>
      <c r="S10" s="360">
        <f t="shared" si="2"/>
        <v>0.14294754446210184</v>
      </c>
    </row>
    <row r="11" spans="1:19" x14ac:dyDescent="0.25">
      <c r="A11" s="336" t="s">
        <v>180</v>
      </c>
      <c r="B11" s="336" t="s">
        <v>351</v>
      </c>
      <c r="C11" s="370">
        <v>576.39</v>
      </c>
      <c r="D11" s="370">
        <v>0</v>
      </c>
      <c r="E11" s="370">
        <v>0</v>
      </c>
      <c r="F11" s="370"/>
      <c r="M11" s="376"/>
      <c r="N11" s="376"/>
      <c r="O11" s="376"/>
      <c r="P11" s="376"/>
      <c r="Q11" s="376"/>
      <c r="R11" s="376"/>
      <c r="S11" s="376"/>
    </row>
    <row r="12" spans="1:19" x14ac:dyDescent="0.25">
      <c r="A12" s="336" t="s">
        <v>180</v>
      </c>
      <c r="B12" s="336" t="s">
        <v>345</v>
      </c>
      <c r="C12" s="370">
        <v>29192.99</v>
      </c>
      <c r="D12" s="370">
        <v>8213.2099999999991</v>
      </c>
      <c r="E12" s="370">
        <v>71901.23</v>
      </c>
      <c r="F12" s="370">
        <f>SUM(C12:E12)</f>
        <v>109307.43</v>
      </c>
    </row>
    <row r="13" spans="1:19" x14ac:dyDescent="0.25">
      <c r="A13" s="336" t="s">
        <v>180</v>
      </c>
      <c r="B13" s="336" t="s">
        <v>348</v>
      </c>
      <c r="C13" s="370">
        <v>129195.25</v>
      </c>
      <c r="D13" s="370">
        <v>75024.710000000006</v>
      </c>
      <c r="E13" s="370">
        <v>510351.03</v>
      </c>
      <c r="F13" s="370">
        <f>SUM(C13:E13)</f>
        <v>714570.99</v>
      </c>
    </row>
    <row r="14" spans="1:19" x14ac:dyDescent="0.25">
      <c r="A14" s="336" t="s">
        <v>180</v>
      </c>
      <c r="B14" s="336" t="s">
        <v>350</v>
      </c>
      <c r="C14" s="370">
        <v>11200.93</v>
      </c>
      <c r="D14" s="370">
        <v>52632.85</v>
      </c>
      <c r="E14" s="370">
        <v>60865.16</v>
      </c>
      <c r="F14" s="370">
        <f>SUM(C14:E14)</f>
        <v>124698.94</v>
      </c>
    </row>
    <row r="15" spans="1:19" x14ac:dyDescent="0.25">
      <c r="F15" s="370"/>
    </row>
    <row r="16" spans="1:19" x14ac:dyDescent="0.25">
      <c r="A16" s="375">
        <v>40724</v>
      </c>
      <c r="B16" s="336" t="s">
        <v>343</v>
      </c>
      <c r="C16" s="336" t="s">
        <v>34</v>
      </c>
      <c r="D16" s="336" t="s">
        <v>35</v>
      </c>
      <c r="E16" s="336" t="s">
        <v>103</v>
      </c>
    </row>
    <row r="17" spans="1:7" x14ac:dyDescent="0.25">
      <c r="A17" s="336" t="s">
        <v>93</v>
      </c>
      <c r="B17" s="336" t="s">
        <v>351</v>
      </c>
      <c r="C17" s="370">
        <v>0</v>
      </c>
      <c r="D17" s="370">
        <v>0</v>
      </c>
      <c r="E17" s="370">
        <v>0</v>
      </c>
      <c r="F17" s="370">
        <f>SUM(C17:E17)</f>
        <v>0</v>
      </c>
    </row>
    <row r="18" spans="1:7" x14ac:dyDescent="0.25">
      <c r="A18" s="336" t="s">
        <v>93</v>
      </c>
      <c r="B18" s="336" t="s">
        <v>345</v>
      </c>
      <c r="C18" s="370">
        <v>10392.69</v>
      </c>
      <c r="D18" s="370">
        <v>37749.19</v>
      </c>
      <c r="E18" s="370">
        <v>128334.31</v>
      </c>
      <c r="F18" s="370">
        <f>SUM(C18:E18)</f>
        <v>176476.19</v>
      </c>
      <c r="G18" s="374">
        <f>F18/SUM($F$18:$F$20)</f>
        <v>0.19347787440977862</v>
      </c>
    </row>
    <row r="19" spans="1:7" x14ac:dyDescent="0.25">
      <c r="A19" s="336" t="s">
        <v>93</v>
      </c>
      <c r="B19" s="336" t="s">
        <v>348</v>
      </c>
      <c r="C19" s="370">
        <v>45070.63</v>
      </c>
      <c r="D19" s="370">
        <v>106999.59</v>
      </c>
      <c r="E19" s="370">
        <v>489615.61</v>
      </c>
      <c r="F19" s="370">
        <f>SUM(C19:E19)</f>
        <v>641685.82999999996</v>
      </c>
      <c r="G19" s="374">
        <f>F19/SUM($F$18:$F$20)</f>
        <v>0.70350572747108009</v>
      </c>
    </row>
    <row r="20" spans="1:7" x14ac:dyDescent="0.25">
      <c r="A20" s="336" t="s">
        <v>93</v>
      </c>
      <c r="B20" s="336" t="s">
        <v>350</v>
      </c>
      <c r="C20" s="370">
        <v>18554.97</v>
      </c>
      <c r="D20" s="370">
        <v>27514.54</v>
      </c>
      <c r="E20" s="370">
        <v>47894.42</v>
      </c>
      <c r="F20" s="370">
        <f>SUM(C20:E20)</f>
        <v>93963.93</v>
      </c>
      <c r="G20" s="374">
        <f>F20/SUM($F$18:$F$20)</f>
        <v>0.10301639811914133</v>
      </c>
    </row>
    <row r="21" spans="1:7" x14ac:dyDescent="0.25">
      <c r="F21" s="370">
        <f>SUM(F17:F20)</f>
        <v>912125.95</v>
      </c>
    </row>
    <row r="24" spans="1:7" x14ac:dyDescent="0.25">
      <c r="A24" s="375">
        <v>40359</v>
      </c>
      <c r="B24" s="336" t="s">
        <v>343</v>
      </c>
      <c r="C24" s="336" t="s">
        <v>34</v>
      </c>
      <c r="D24" s="336" t="s">
        <v>35</v>
      </c>
      <c r="E24" s="336" t="s">
        <v>103</v>
      </c>
    </row>
    <row r="25" spans="1:7" x14ac:dyDescent="0.25">
      <c r="A25" s="336" t="s">
        <v>37</v>
      </c>
      <c r="B25" s="336" t="s">
        <v>351</v>
      </c>
      <c r="C25" s="370">
        <v>0</v>
      </c>
      <c r="D25" s="370">
        <v>0</v>
      </c>
      <c r="E25" s="370">
        <v>0</v>
      </c>
    </row>
    <row r="26" spans="1:7" x14ac:dyDescent="0.25">
      <c r="A26" s="336" t="s">
        <v>37</v>
      </c>
      <c r="B26" s="336" t="s">
        <v>345</v>
      </c>
      <c r="C26" s="370">
        <v>6225.84</v>
      </c>
      <c r="D26" s="370">
        <v>28732.65</v>
      </c>
      <c r="E26" s="370">
        <v>69926.86</v>
      </c>
      <c r="F26" s="370">
        <f>SUM(C26:E26)</f>
        <v>104885.35</v>
      </c>
    </row>
    <row r="27" spans="1:7" x14ac:dyDescent="0.25">
      <c r="A27" s="336" t="s">
        <v>37</v>
      </c>
      <c r="B27" s="336" t="s">
        <v>348</v>
      </c>
      <c r="C27" s="370">
        <v>52453.07</v>
      </c>
      <c r="D27" s="370">
        <v>90427.55</v>
      </c>
      <c r="E27" s="370">
        <v>533663.03</v>
      </c>
      <c r="F27" s="370">
        <f>SUM(C27:E27)</f>
        <v>676543.65</v>
      </c>
    </row>
    <row r="28" spans="1:7" x14ac:dyDescent="0.25">
      <c r="A28" s="336" t="s">
        <v>37</v>
      </c>
      <c r="B28" s="336" t="s">
        <v>350</v>
      </c>
      <c r="C28" s="370">
        <v>4077.35</v>
      </c>
      <c r="D28" s="370">
        <v>38406.720000000001</v>
      </c>
      <c r="E28" s="370">
        <v>70582.63</v>
      </c>
      <c r="F28" s="370">
        <f>SUM(C28:E28)</f>
        <v>113066.70000000001</v>
      </c>
    </row>
    <row r="31" spans="1:7" x14ac:dyDescent="0.25">
      <c r="A31" s="375">
        <v>39994</v>
      </c>
      <c r="B31" s="336" t="s">
        <v>343</v>
      </c>
      <c r="C31" s="336" t="s">
        <v>34</v>
      </c>
      <c r="D31" s="336" t="s">
        <v>35</v>
      </c>
      <c r="E31" s="336" t="s">
        <v>103</v>
      </c>
    </row>
    <row r="32" spans="1:7" x14ac:dyDescent="0.25">
      <c r="A32" s="336" t="s">
        <v>353</v>
      </c>
      <c r="B32" s="336" t="s">
        <v>351</v>
      </c>
      <c r="C32" s="370">
        <v>0</v>
      </c>
      <c r="D32" s="370">
        <v>0</v>
      </c>
      <c r="E32" s="370">
        <v>0</v>
      </c>
      <c r="F32" s="370">
        <f>SUM(C32:E32)</f>
        <v>0</v>
      </c>
    </row>
    <row r="33" spans="1:7" x14ac:dyDescent="0.25">
      <c r="A33" s="336" t="s">
        <v>353</v>
      </c>
      <c r="B33" s="336" t="s">
        <v>345</v>
      </c>
      <c r="C33" s="370">
        <v>34759.21</v>
      </c>
      <c r="D33" s="370">
        <v>51427.24</v>
      </c>
      <c r="E33" s="370">
        <v>72891.98</v>
      </c>
      <c r="F33" s="370">
        <f>SUM(C33:E33)</f>
        <v>159078.43</v>
      </c>
      <c r="G33" s="374">
        <f>F33/SUM($F$33:$F$35)</f>
        <v>0.19456770367334925</v>
      </c>
    </row>
    <row r="34" spans="1:7" x14ac:dyDescent="0.25">
      <c r="A34" s="336" t="s">
        <v>353</v>
      </c>
      <c r="B34" s="336" t="s">
        <v>348</v>
      </c>
      <c r="C34" s="370">
        <v>91464.6</v>
      </c>
      <c r="D34" s="370">
        <v>71681.149999999994</v>
      </c>
      <c r="E34" s="370">
        <v>443009.61</v>
      </c>
      <c r="F34" s="370">
        <f>SUM(C34:E34)</f>
        <v>606155.36</v>
      </c>
      <c r="G34" s="374">
        <f>F34/SUM($F$33:$F$35)</f>
        <v>0.74138433767854217</v>
      </c>
    </row>
    <row r="35" spans="1:7" x14ac:dyDescent="0.25">
      <c r="A35" s="336" t="s">
        <v>353</v>
      </c>
      <c r="B35" s="336" t="s">
        <v>350</v>
      </c>
      <c r="C35" s="370">
        <v>9959.7099999999991</v>
      </c>
      <c r="D35" s="370">
        <v>15008.77</v>
      </c>
      <c r="E35" s="370">
        <v>27397.09</v>
      </c>
      <c r="F35" s="370">
        <f>SUM(C35:E35)</f>
        <v>52365.57</v>
      </c>
      <c r="G35" s="374">
        <f>F35/SUM($F$33:$F$35)</f>
        <v>6.4047958648108527E-2</v>
      </c>
    </row>
    <row r="36" spans="1:7" x14ac:dyDescent="0.25">
      <c r="F36" s="370">
        <f>SUM(F32:F35)</f>
        <v>817599.36</v>
      </c>
    </row>
    <row r="37" spans="1:7" x14ac:dyDescent="0.25">
      <c r="A37" s="375">
        <v>39629</v>
      </c>
      <c r="B37" s="336" t="s">
        <v>343</v>
      </c>
      <c r="C37" s="336" t="s">
        <v>34</v>
      </c>
      <c r="D37" s="336" t="s">
        <v>35</v>
      </c>
      <c r="E37" s="336" t="s">
        <v>103</v>
      </c>
    </row>
    <row r="38" spans="1:7" x14ac:dyDescent="0.25">
      <c r="A38" s="336" t="s">
        <v>354</v>
      </c>
      <c r="B38" s="336" t="s">
        <v>351</v>
      </c>
      <c r="C38" s="370">
        <v>0</v>
      </c>
      <c r="D38" s="370">
        <v>0</v>
      </c>
      <c r="E38" s="370">
        <v>0</v>
      </c>
    </row>
    <row r="39" spans="1:7" x14ac:dyDescent="0.25">
      <c r="A39" s="336" t="s">
        <v>354</v>
      </c>
      <c r="B39" s="336" t="s">
        <v>345</v>
      </c>
      <c r="C39" s="370">
        <v>12989.63</v>
      </c>
      <c r="D39" s="370">
        <v>3806.13</v>
      </c>
      <c r="E39" s="370">
        <v>34850.65</v>
      </c>
      <c r="F39" s="370">
        <f>SUM(C39:E39)</f>
        <v>51646.41</v>
      </c>
    </row>
    <row r="40" spans="1:7" x14ac:dyDescent="0.25">
      <c r="A40" s="336" t="s">
        <v>354</v>
      </c>
      <c r="B40" s="336" t="s">
        <v>348</v>
      </c>
      <c r="C40" s="370">
        <v>72550.649999999994</v>
      </c>
      <c r="D40" s="370">
        <v>65856.990000000005</v>
      </c>
      <c r="E40" s="370">
        <v>408272.63</v>
      </c>
      <c r="F40" s="370">
        <f>SUM(C40:E40)</f>
        <v>546680.27</v>
      </c>
    </row>
    <row r="41" spans="1:7" x14ac:dyDescent="0.25">
      <c r="A41" s="336" t="s">
        <v>354</v>
      </c>
      <c r="B41" s="336" t="s">
        <v>350</v>
      </c>
      <c r="C41" s="370">
        <v>31547.16</v>
      </c>
      <c r="D41" s="370">
        <v>7002.34</v>
      </c>
      <c r="E41" s="370">
        <v>84476.51</v>
      </c>
      <c r="F41" s="370">
        <f>SUM(C41:E41)</f>
        <v>123026.01</v>
      </c>
    </row>
    <row r="43" spans="1:7" x14ac:dyDescent="0.25">
      <c r="A43" s="375">
        <v>39294</v>
      </c>
      <c r="B43" s="336" t="s">
        <v>343</v>
      </c>
      <c r="C43" s="336" t="s">
        <v>34</v>
      </c>
      <c r="D43" s="336" t="s">
        <v>35</v>
      </c>
      <c r="E43" s="336" t="s">
        <v>103</v>
      </c>
    </row>
    <row r="44" spans="1:7" x14ac:dyDescent="0.25">
      <c r="A44" s="336" t="s">
        <v>354</v>
      </c>
      <c r="B44" s="336" t="s">
        <v>351</v>
      </c>
      <c r="C44" s="370">
        <v>0</v>
      </c>
      <c r="D44" s="370">
        <v>0</v>
      </c>
      <c r="E44" s="370">
        <v>0</v>
      </c>
    </row>
    <row r="45" spans="1:7" x14ac:dyDescent="0.25">
      <c r="A45" s="336" t="s">
        <v>354</v>
      </c>
      <c r="B45" s="336" t="s">
        <v>345</v>
      </c>
      <c r="C45" s="370">
        <v>1221.25</v>
      </c>
      <c r="D45" s="370">
        <v>4554.47</v>
      </c>
      <c r="E45" s="370">
        <v>16961.59</v>
      </c>
      <c r="F45" s="370">
        <f>SUM(C45:E45)</f>
        <v>22737.31</v>
      </c>
    </row>
    <row r="46" spans="1:7" x14ac:dyDescent="0.25">
      <c r="A46" s="336" t="s">
        <v>354</v>
      </c>
      <c r="B46" s="336" t="s">
        <v>348</v>
      </c>
      <c r="C46" s="370">
        <v>3678.22</v>
      </c>
      <c r="D46" s="370">
        <v>22729.25</v>
      </c>
      <c r="E46" s="370">
        <v>309642.55</v>
      </c>
      <c r="F46" s="370">
        <f>SUM(C46:E46)</f>
        <v>336050.02</v>
      </c>
    </row>
    <row r="47" spans="1:7" x14ac:dyDescent="0.25">
      <c r="A47" s="336" t="s">
        <v>354</v>
      </c>
      <c r="B47" s="336" t="s">
        <v>350</v>
      </c>
      <c r="C47" s="370">
        <v>0</v>
      </c>
      <c r="D47" s="370">
        <v>18556.77</v>
      </c>
      <c r="E47" s="370">
        <v>90244.96</v>
      </c>
      <c r="F47" s="370">
        <f>SUM(C47:E47)</f>
        <v>108801.73000000001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3A7BE-9921-46F4-8005-9F223D0F1FEB}">
  <dimension ref="A1:EI8"/>
  <sheetViews>
    <sheetView tabSelected="1" zoomScaleNormal="100" workbookViewId="0">
      <pane xSplit="1" topLeftCell="B1" activePane="topRight" state="frozen"/>
      <selection pane="topRight" activeCell="L26" sqref="L26"/>
    </sheetView>
  </sheetViews>
  <sheetFormatPr defaultColWidth="9.140625" defaultRowHeight="15" x14ac:dyDescent="0.2"/>
  <cols>
    <col min="1" max="1" width="18.42578125" style="420" bestFit="1" customWidth="1"/>
    <col min="2" max="108" width="12.7109375" style="420" bestFit="1" customWidth="1"/>
    <col min="109" max="139" width="12.7109375" style="420" customWidth="1"/>
    <col min="140" max="16384" width="9.140625" style="420"/>
  </cols>
  <sheetData>
    <row r="1" spans="1:139" x14ac:dyDescent="0.2">
      <c r="A1" s="461"/>
      <c r="B1" s="462">
        <f>Categories!A1</f>
        <v>41820</v>
      </c>
      <c r="C1" s="462">
        <f>Categories!A11</f>
        <v>41851</v>
      </c>
      <c r="D1" s="462">
        <f>Categories!A21</f>
        <v>41882</v>
      </c>
      <c r="E1" s="462">
        <f>Categories!A31</f>
        <v>41912</v>
      </c>
      <c r="F1" s="462">
        <f>Categories!A41</f>
        <v>41943</v>
      </c>
      <c r="G1" s="462">
        <f>Categories!A51</f>
        <v>41973</v>
      </c>
      <c r="H1" s="462">
        <f>Categories!A61</f>
        <v>42004</v>
      </c>
      <c r="I1" s="462">
        <f>Categories!A71</f>
        <v>42035</v>
      </c>
      <c r="J1" s="462">
        <f>Categories!A81</f>
        <v>42063</v>
      </c>
      <c r="K1" s="462">
        <f>Categories!A91</f>
        <v>42094</v>
      </c>
      <c r="L1" s="462">
        <f>Categories!A101</f>
        <v>42124</v>
      </c>
      <c r="M1" s="462">
        <f>Categories!A111</f>
        <v>41790</v>
      </c>
      <c r="N1" s="462">
        <f>Categories!A121</f>
        <v>42185</v>
      </c>
      <c r="O1" s="462">
        <f>Categories!A131</f>
        <v>42216</v>
      </c>
      <c r="P1" s="462">
        <f>Categories!A141</f>
        <v>42247</v>
      </c>
      <c r="Q1" s="462">
        <f>Categories!A151</f>
        <v>42277</v>
      </c>
      <c r="R1" s="462">
        <f>Categories!A161</f>
        <v>42308</v>
      </c>
      <c r="S1" s="462">
        <f>Categories!A171</f>
        <v>42338</v>
      </c>
      <c r="T1" s="462">
        <f>Categories!A181</f>
        <v>42369</v>
      </c>
      <c r="U1" s="462">
        <f>Categories!A191</f>
        <v>42400</v>
      </c>
      <c r="V1" s="462">
        <f>Categories!A201</f>
        <v>42429</v>
      </c>
      <c r="W1" s="462">
        <f>Categories!A211</f>
        <v>42460</v>
      </c>
      <c r="X1" s="462">
        <f>Categories!A221</f>
        <v>42490</v>
      </c>
      <c r="Y1" s="462">
        <f>Categories!A231</f>
        <v>42521</v>
      </c>
      <c r="Z1" s="462">
        <f>Categories!A241</f>
        <v>42551</v>
      </c>
      <c r="AA1" s="462">
        <f>Categories!A251</f>
        <v>42582</v>
      </c>
      <c r="AB1" s="462">
        <f>Categories!A262</f>
        <v>42613</v>
      </c>
      <c r="AC1" s="462">
        <f>Categories!A272</f>
        <v>42643</v>
      </c>
      <c r="AD1" s="462">
        <f>Categories!A282</f>
        <v>42674</v>
      </c>
      <c r="AE1" s="462">
        <f>Categories!A292</f>
        <v>42704</v>
      </c>
      <c r="AF1" s="462">
        <f>Categories!A302</f>
        <v>42735</v>
      </c>
      <c r="AG1" s="462">
        <f>Categories!A312</f>
        <v>42766</v>
      </c>
      <c r="AH1" s="462">
        <f>Categories!A323</f>
        <v>42794</v>
      </c>
      <c r="AI1" s="462">
        <f>Categories!A333</f>
        <v>42825</v>
      </c>
      <c r="AJ1" s="462">
        <f>Categories!A343</f>
        <v>42855</v>
      </c>
      <c r="AK1" s="462">
        <f>Categories!A353</f>
        <v>42886</v>
      </c>
      <c r="AL1" s="462">
        <f>Categories!A363</f>
        <v>42916</v>
      </c>
      <c r="AM1" s="462">
        <f>Categories!A373</f>
        <v>42947</v>
      </c>
      <c r="AN1" s="462">
        <f>Categories!A383</f>
        <v>42978</v>
      </c>
      <c r="AO1" s="462">
        <f>Categories!A393</f>
        <v>43008</v>
      </c>
      <c r="AP1" s="462">
        <f>Categories!A403</f>
        <v>43039</v>
      </c>
      <c r="AQ1" s="462">
        <f>Categories!A413</f>
        <v>43069</v>
      </c>
      <c r="AR1" s="462">
        <f>Categories!A424</f>
        <v>43100</v>
      </c>
      <c r="AS1" s="462">
        <f>Categories!A434</f>
        <v>43131</v>
      </c>
      <c r="AT1" s="462">
        <f>Categories!A444</f>
        <v>43159</v>
      </c>
      <c r="AU1" s="462">
        <f>Categories!A454</f>
        <v>43190</v>
      </c>
      <c r="AV1" s="462">
        <f>Categories!A464</f>
        <v>43220</v>
      </c>
      <c r="AW1" s="462">
        <f>Categories!A474</f>
        <v>43251</v>
      </c>
      <c r="AX1" s="462">
        <f>Categories!A484</f>
        <v>43281</v>
      </c>
      <c r="AY1" s="462">
        <f>Categories!A494</f>
        <v>43312</v>
      </c>
      <c r="AZ1" s="462">
        <f>Categories!A504</f>
        <v>43343</v>
      </c>
      <c r="BA1" s="462">
        <f>Categories!A514</f>
        <v>43373</v>
      </c>
      <c r="BB1" s="462">
        <f>Categories!A524</f>
        <v>43404</v>
      </c>
      <c r="BC1" s="462">
        <f>Categories!A534</f>
        <v>43434</v>
      </c>
      <c r="BD1" s="462">
        <f>Categories!A544</f>
        <v>43465</v>
      </c>
      <c r="BE1" s="462">
        <f>Categories!A554</f>
        <v>43496</v>
      </c>
      <c r="BF1" s="462">
        <f>Categories!A564</f>
        <v>43524</v>
      </c>
      <c r="BG1" s="462">
        <f>Categories!A574</f>
        <v>43555</v>
      </c>
      <c r="BH1" s="462">
        <f>Categories!A584</f>
        <v>43585</v>
      </c>
      <c r="BI1" s="462">
        <f>Categories!A594</f>
        <v>43616</v>
      </c>
      <c r="BJ1" s="462">
        <f>Categories!A604</f>
        <v>43646</v>
      </c>
      <c r="BK1" s="462">
        <f>Categories!A614</f>
        <v>43677</v>
      </c>
      <c r="BL1" s="462">
        <f>Categories!A624</f>
        <v>43708</v>
      </c>
      <c r="BM1" s="462">
        <f>Categories!A634</f>
        <v>43738</v>
      </c>
      <c r="BN1" s="462">
        <f>Categories!A644</f>
        <v>43769</v>
      </c>
      <c r="BO1" s="462">
        <f>Categories!A654</f>
        <v>43799</v>
      </c>
      <c r="BP1" s="462">
        <f>Categories!A664</f>
        <v>43830</v>
      </c>
      <c r="BQ1" s="462">
        <f>Categories!A674</f>
        <v>43861</v>
      </c>
      <c r="BR1" s="462">
        <f>Categories!A684</f>
        <v>43890</v>
      </c>
      <c r="BS1" s="462">
        <f>Categories!A694</f>
        <v>43921</v>
      </c>
      <c r="BT1" s="462">
        <f>Categories!A704</f>
        <v>43951</v>
      </c>
      <c r="BU1" s="462">
        <f>Categories!A714</f>
        <v>43982</v>
      </c>
      <c r="BV1" s="462">
        <f>Categories!A724</f>
        <v>44012</v>
      </c>
      <c r="BW1" s="462">
        <f>Categories!A734</f>
        <v>44043</v>
      </c>
      <c r="BX1" s="462">
        <f>Categories!A744</f>
        <v>44074</v>
      </c>
      <c r="BY1" s="462">
        <f>Categories!A754</f>
        <v>44104</v>
      </c>
      <c r="BZ1" s="462">
        <f>Categories!A764</f>
        <v>44135</v>
      </c>
      <c r="CA1" s="462">
        <f>Categories!A774</f>
        <v>44165</v>
      </c>
      <c r="CB1" s="462">
        <f>Categories!A784</f>
        <v>44196</v>
      </c>
      <c r="CC1" s="462">
        <f>Categories!A794</f>
        <v>44227</v>
      </c>
      <c r="CD1" s="462">
        <f>Categories!A804</f>
        <v>44255</v>
      </c>
      <c r="CE1" s="462">
        <f>Categories!A814</f>
        <v>44286</v>
      </c>
      <c r="CF1" s="462">
        <f>Categories!A824</f>
        <v>44316</v>
      </c>
      <c r="CG1" s="462">
        <f>Categories!A834</f>
        <v>44347</v>
      </c>
      <c r="CH1" s="462">
        <f>Categories!A844</f>
        <v>44377</v>
      </c>
      <c r="CI1" s="462">
        <f>Categories!A854</f>
        <v>44408</v>
      </c>
      <c r="CJ1" s="462">
        <f>Categories!A864</f>
        <v>44439</v>
      </c>
      <c r="CK1" s="462">
        <f>Categories!A874</f>
        <v>44469</v>
      </c>
      <c r="CL1" s="462">
        <f>Categories!A884</f>
        <v>44500</v>
      </c>
      <c r="CM1" s="462">
        <f>Categories!A894</f>
        <v>44530</v>
      </c>
      <c r="CN1" s="462">
        <f>Categories!A904</f>
        <v>44561</v>
      </c>
      <c r="CO1" s="462">
        <f>Categories!A914</f>
        <v>44592</v>
      </c>
      <c r="CP1" s="462">
        <f>Categories!A924</f>
        <v>44620</v>
      </c>
      <c r="CQ1" s="462">
        <f>Categories!A934</f>
        <v>44651</v>
      </c>
      <c r="CR1" s="462">
        <f>Categories!A944</f>
        <v>44681</v>
      </c>
      <c r="CS1" s="462">
        <f>Categories!A954</f>
        <v>44712</v>
      </c>
      <c r="CT1" s="462">
        <f>Categories!A964</f>
        <v>44742</v>
      </c>
      <c r="CU1" s="462">
        <f>Categories!A974</f>
        <v>44773</v>
      </c>
      <c r="CV1" s="462">
        <f>Categories!A984</f>
        <v>44804</v>
      </c>
      <c r="CW1" s="462">
        <f>Categories!$A994</f>
        <v>44834</v>
      </c>
      <c r="CX1" s="462">
        <f>Categories!$A1004</f>
        <v>44865</v>
      </c>
      <c r="CY1" s="462">
        <f>Categories!$A1014</f>
        <v>44895</v>
      </c>
      <c r="CZ1" s="462">
        <f>Categories!$A1024</f>
        <v>44926</v>
      </c>
      <c r="DA1" s="462">
        <f>Categories!$A1034</f>
        <v>44957</v>
      </c>
      <c r="DB1" s="462">
        <f>Categories!$A1044</f>
        <v>44985</v>
      </c>
      <c r="DC1" s="462">
        <f>Categories!$A1054</f>
        <v>45016</v>
      </c>
      <c r="DD1" s="462">
        <f>Categories!$A1064</f>
        <v>45046</v>
      </c>
      <c r="DE1" s="462">
        <f>Categories!$A1074</f>
        <v>45077</v>
      </c>
      <c r="DF1" s="462">
        <f>Categories!$A1084</f>
        <v>45107</v>
      </c>
      <c r="DG1" s="462">
        <f>Categories!$A1094</f>
        <v>45138</v>
      </c>
      <c r="DH1" s="462">
        <f>Categories!$A1104</f>
        <v>45169</v>
      </c>
      <c r="DI1" s="462">
        <f>Categories!$A1114</f>
        <v>45199</v>
      </c>
      <c r="DJ1" s="462">
        <f>Categories!$A1124</f>
        <v>45230</v>
      </c>
      <c r="DK1" s="462">
        <f>Categories!$A1134</f>
        <v>45260</v>
      </c>
      <c r="DL1" s="462">
        <f>Categories!$A1144</f>
        <v>45291</v>
      </c>
      <c r="DM1" s="462">
        <f>Categories!$A1154</f>
        <v>45322</v>
      </c>
      <c r="DN1" s="462">
        <f>Categories!$A1164</f>
        <v>45351</v>
      </c>
      <c r="DO1" s="462">
        <f>Categories!$A1174</f>
        <v>45382</v>
      </c>
      <c r="DP1" s="462">
        <f>Categories!$A1184</f>
        <v>45412</v>
      </c>
      <c r="DQ1" s="462">
        <f>Categories!$A1194</f>
        <v>45443</v>
      </c>
      <c r="DR1" s="462">
        <f>Categories!$A1204</f>
        <v>45473</v>
      </c>
      <c r="DS1" s="462">
        <f>Categories!$A1214</f>
        <v>45504</v>
      </c>
      <c r="DT1" s="462">
        <f>Categories!$A1224</f>
        <v>45535</v>
      </c>
      <c r="DU1" s="462">
        <f>Categories!$A1234</f>
        <v>45565</v>
      </c>
      <c r="DV1" s="462">
        <f>Categories!$A1244</f>
        <v>45596</v>
      </c>
      <c r="DW1" s="462">
        <f>Categories!$A1254</f>
        <v>45626</v>
      </c>
      <c r="DX1" s="462">
        <f>Categories!$A1264</f>
        <v>45657</v>
      </c>
      <c r="DY1" s="462">
        <f>Categories!$A1274</f>
        <v>45688</v>
      </c>
      <c r="DZ1" s="462">
        <f>Categories!$A1284</f>
        <v>45716</v>
      </c>
      <c r="EA1" s="462">
        <f>Categories!$A1294</f>
        <v>45747</v>
      </c>
      <c r="EB1" s="462">
        <f>Categories!$A1304</f>
        <v>45777</v>
      </c>
      <c r="EC1" s="462">
        <f>Categories!$A1314</f>
        <v>45808</v>
      </c>
      <c r="ED1" s="462">
        <f>Categories!$A1324</f>
        <v>45838</v>
      </c>
      <c r="EE1" s="462"/>
      <c r="EF1" s="462"/>
      <c r="EG1" s="462"/>
      <c r="EH1" s="462"/>
      <c r="EI1" s="462"/>
    </row>
    <row r="2" spans="1:139" x14ac:dyDescent="0.2">
      <c r="A2" s="461" t="s">
        <v>389</v>
      </c>
      <c r="B2" s="463">
        <f>Categories!G2</f>
        <v>3318.88</v>
      </c>
      <c r="C2" s="463">
        <f>Categories!G12</f>
        <v>1224.5899999999999</v>
      </c>
      <c r="D2" s="463">
        <f>Categories!G22</f>
        <v>207.76000000000002</v>
      </c>
      <c r="E2" s="463">
        <f>Categories!G32</f>
        <v>23454.01</v>
      </c>
      <c r="F2" s="463">
        <f>Categories!G42</f>
        <v>981.36</v>
      </c>
      <c r="G2" s="463">
        <f>Categories!G52</f>
        <v>1058.79</v>
      </c>
      <c r="H2" s="463">
        <f>Categories!G62</f>
        <v>790.99</v>
      </c>
      <c r="I2" s="463">
        <f>Categories!G72</f>
        <v>105.07</v>
      </c>
      <c r="J2" s="463">
        <f>Categories!G82</f>
        <v>1073.67</v>
      </c>
      <c r="K2" s="463">
        <f>Categories!G92</f>
        <v>1047.8500000000008</v>
      </c>
      <c r="L2" s="463">
        <f>Categories!G102</f>
        <v>2057.3200000000002</v>
      </c>
      <c r="M2" s="463">
        <f>Categories!G112</f>
        <v>777.16</v>
      </c>
      <c r="N2" s="463">
        <f>Categories!G122</f>
        <v>3453.24</v>
      </c>
      <c r="O2" s="463">
        <f>Categories!G132</f>
        <v>1673.1200000000001</v>
      </c>
      <c r="P2" s="463">
        <f>Categories!G142</f>
        <v>26454.769999999997</v>
      </c>
      <c r="Q2" s="463">
        <f>Categories!G152</f>
        <v>9025.9500000000007</v>
      </c>
      <c r="R2" s="463">
        <f>Categories!G162</f>
        <v>9035.0499999999993</v>
      </c>
      <c r="S2" s="463">
        <f>Categories!G172</f>
        <v>18310.04</v>
      </c>
      <c r="T2" s="463">
        <f>Categories!G182</f>
        <v>16378.98</v>
      </c>
      <c r="U2" s="463">
        <f>Categories!G192</f>
        <v>15304.82</v>
      </c>
      <c r="V2" s="463">
        <f>Categories!G202</f>
        <v>5393.8899999999994</v>
      </c>
      <c r="W2" s="463">
        <f>Categories!G212</f>
        <v>887.65000000000009</v>
      </c>
      <c r="X2" s="463">
        <f>Categories!G222</f>
        <v>7824.68</v>
      </c>
      <c r="Y2" s="463">
        <f>Categories!G232</f>
        <v>17834.190000000002</v>
      </c>
      <c r="Z2" s="463">
        <f>Categories!G242</f>
        <v>17894.28</v>
      </c>
      <c r="AA2" s="463">
        <f>Categories!G252</f>
        <v>104.23</v>
      </c>
      <c r="AB2" s="463">
        <f>Categories!G263</f>
        <v>96.98</v>
      </c>
      <c r="AC2" s="463">
        <f>Categories!G273</f>
        <v>110.5</v>
      </c>
      <c r="AD2" s="463">
        <f>Categories!G283</f>
        <v>152.73000000000002</v>
      </c>
      <c r="AE2" s="463">
        <f>Categories!G293</f>
        <v>393.39</v>
      </c>
      <c r="AF2" s="463">
        <f>Categories!G303</f>
        <v>69106.53</v>
      </c>
      <c r="AG2" s="463">
        <f>Categories!G313</f>
        <v>11.45</v>
      </c>
      <c r="AH2" s="463">
        <f>Categories!G324</f>
        <v>9902.86</v>
      </c>
      <c r="AI2" s="463">
        <f>Categories!G334</f>
        <v>191.98000000000002</v>
      </c>
      <c r="AJ2" s="463">
        <f>Categories!G344</f>
        <v>2798.9</v>
      </c>
      <c r="AK2" s="463">
        <f>Categories!G354</f>
        <v>1703.51</v>
      </c>
      <c r="AL2" s="463">
        <f>Categories!G364</f>
        <v>1856.6799999999998</v>
      </c>
      <c r="AM2" s="463">
        <f>Categories!G374</f>
        <v>2404.37</v>
      </c>
      <c r="AN2" s="463">
        <f>Categories!G384</f>
        <v>1607.44</v>
      </c>
      <c r="AO2" s="463">
        <f>Categories!G394</f>
        <v>3887.84</v>
      </c>
      <c r="AP2" s="463">
        <f>Categories!G404</f>
        <v>2299.13</v>
      </c>
      <c r="AQ2" s="463">
        <f>Categories!G414</f>
        <v>2385.16</v>
      </c>
      <c r="AR2" s="463">
        <f>Categories!G425</f>
        <v>2205.9299999999998</v>
      </c>
      <c r="AS2" s="463">
        <f>Categories!G435</f>
        <v>962.09999999999991</v>
      </c>
      <c r="AT2" s="463">
        <f>Categories!G445</f>
        <v>100564.25</v>
      </c>
      <c r="AU2" s="463">
        <f>Categories!G455</f>
        <v>106214.81999999999</v>
      </c>
      <c r="AV2" s="463">
        <f>Categories!G465</f>
        <v>2137.84</v>
      </c>
      <c r="AW2" s="463">
        <f>Categories!G475</f>
        <v>0</v>
      </c>
      <c r="AX2" s="463">
        <f>Categories!G485</f>
        <v>3675.7</v>
      </c>
      <c r="AY2" s="463">
        <f>Categories!G495</f>
        <v>26687.929999999935</v>
      </c>
      <c r="AZ2" s="463">
        <f>Categories!G505</f>
        <v>695659.04999999993</v>
      </c>
      <c r="BA2" s="463">
        <f>Categories!G515</f>
        <v>1381831.55</v>
      </c>
      <c r="BB2" s="463">
        <f>Categories!G525</f>
        <v>685161.70000000007</v>
      </c>
      <c r="BC2" s="463">
        <f>Categories!G535</f>
        <v>4505.01</v>
      </c>
      <c r="BD2" s="463">
        <f>Categories!G545</f>
        <v>4470.1100000000006</v>
      </c>
      <c r="BE2" s="463">
        <f>Categories!G555</f>
        <v>6418.1500000000005</v>
      </c>
      <c r="BF2" s="463">
        <f>Categories!G565</f>
        <v>6093.04</v>
      </c>
      <c r="BG2" s="463">
        <f>Categories!G575</f>
        <v>7538.25</v>
      </c>
      <c r="BH2" s="463">
        <f>Categories!G585</f>
        <v>4153.83</v>
      </c>
      <c r="BI2" s="463">
        <f>Categories!G595</f>
        <v>7179.9900000000007</v>
      </c>
      <c r="BJ2" s="463">
        <f>Categories!G605</f>
        <v>13089.2</v>
      </c>
      <c r="BK2" s="463">
        <f>Categories!G615</f>
        <v>11834.22</v>
      </c>
      <c r="BL2" s="463">
        <f>Categories!G625</f>
        <v>118461.32</v>
      </c>
      <c r="BM2" s="463">
        <f>Categories!G635</f>
        <v>126768.46</v>
      </c>
      <c r="BN2" s="463">
        <f>Categories!G645</f>
        <v>93697.33</v>
      </c>
      <c r="BO2" s="463">
        <f>Categories!G655</f>
        <v>93811.08</v>
      </c>
      <c r="BP2" s="463">
        <f>Categories!G665</f>
        <v>108723.04000000001</v>
      </c>
      <c r="BQ2" s="463">
        <f>Categories!G675</f>
        <v>72923.81</v>
      </c>
      <c r="BR2" s="463">
        <f>Categories!G685</f>
        <v>40452.51</v>
      </c>
      <c r="BS2" s="463">
        <f>Categories!G695</f>
        <v>41177.660000000003</v>
      </c>
      <c r="BT2" s="463">
        <f>Categories!G705</f>
        <v>51016.210000000006</v>
      </c>
      <c r="BU2" s="463">
        <f>Categories!G715</f>
        <v>56614.490000000005</v>
      </c>
      <c r="BV2" s="463">
        <f>Categories!G725</f>
        <v>44973.29</v>
      </c>
      <c r="BW2" s="463">
        <f>Categories!G735</f>
        <v>48493.729999999996</v>
      </c>
      <c r="BX2" s="463">
        <f>Categories!G745</f>
        <v>55352.57</v>
      </c>
      <c r="BY2" s="463">
        <f>Categories!G755</f>
        <v>20936.45</v>
      </c>
      <c r="BZ2" s="463">
        <f>Categories!G765</f>
        <v>24833.21</v>
      </c>
      <c r="CA2" s="463">
        <f>Categories!G775</f>
        <v>1619.09</v>
      </c>
      <c r="CB2" s="463">
        <f>Categories!G785</f>
        <v>176356.72999999998</v>
      </c>
      <c r="CC2" s="463">
        <f>Categories!G795</f>
        <v>3186.13</v>
      </c>
      <c r="CD2" s="463">
        <f>Categories!G805</f>
        <v>2557.89</v>
      </c>
      <c r="CE2" s="463">
        <f>Categories!G815</f>
        <v>6768.1100000000006</v>
      </c>
      <c r="CF2" s="463">
        <f>Categories!G825</f>
        <v>6243.98</v>
      </c>
      <c r="CG2" s="463">
        <f>Categories!G835</f>
        <v>2304.85</v>
      </c>
      <c r="CH2" s="463">
        <f>Categories!G845</f>
        <v>290.76</v>
      </c>
      <c r="CI2" s="463">
        <f>Categories!G855</f>
        <v>318.79000000000002</v>
      </c>
      <c r="CJ2" s="463">
        <f>Categories!G865</f>
        <v>760.59</v>
      </c>
      <c r="CK2" s="463">
        <f>Categories!G875</f>
        <v>1447.4</v>
      </c>
      <c r="CL2" s="463">
        <f>Categories!G885</f>
        <v>765062.80999999994</v>
      </c>
      <c r="CM2" s="463">
        <f>Categories!G895</f>
        <v>767503.87</v>
      </c>
      <c r="CN2" s="463">
        <f>Categories!G905</f>
        <v>765607.26</v>
      </c>
      <c r="CO2" s="463">
        <f>Categories!G915</f>
        <v>776213.24</v>
      </c>
      <c r="CP2" s="463">
        <f>Categories!G925</f>
        <v>766615.18</v>
      </c>
      <c r="CQ2" s="463">
        <f>Categories!G935</f>
        <v>767120.98</v>
      </c>
      <c r="CR2" s="463">
        <f>Categories!G945</f>
        <v>767724.91999999993</v>
      </c>
      <c r="CS2" s="463">
        <f>Categories!G955</f>
        <v>771751.17</v>
      </c>
      <c r="CT2" s="463">
        <f>Categories!G965</f>
        <v>762900.94</v>
      </c>
      <c r="CU2" s="463">
        <f>Categories!G975</f>
        <v>743702.96</v>
      </c>
      <c r="CV2" s="463">
        <f>Categories!G985</f>
        <v>746955.70000000007</v>
      </c>
      <c r="CW2" s="463">
        <f>Categories!$G995</f>
        <v>742574.38</v>
      </c>
      <c r="CX2" s="463">
        <f>Categories!$G1005</f>
        <v>742085.35000000009</v>
      </c>
      <c r="CY2" s="463">
        <f>Categories!$G1015</f>
        <v>741787.11</v>
      </c>
      <c r="CZ2" s="463">
        <f>Categories!$G1025</f>
        <v>5164.62</v>
      </c>
      <c r="DA2" s="463">
        <f>Categories!$G1035</f>
        <v>4216.34</v>
      </c>
      <c r="DB2" s="463">
        <f>Categories!$G1045</f>
        <v>3273.54</v>
      </c>
      <c r="DC2" s="463">
        <f>Categories!$G1055</f>
        <v>1019.81</v>
      </c>
      <c r="DD2" s="463">
        <f>Categories!$G1065</f>
        <v>3383.9</v>
      </c>
      <c r="DE2" s="463">
        <f>Categories!$G1075</f>
        <v>2237.2000000000003</v>
      </c>
      <c r="DF2" s="463">
        <f>Categories!$G1085</f>
        <v>2178.5</v>
      </c>
      <c r="DG2" s="463">
        <f>Categories!$G1095</f>
        <v>3483.0699999999997</v>
      </c>
      <c r="DH2" s="463">
        <f>Categories!$G1105</f>
        <v>2600.2800000000002</v>
      </c>
      <c r="DI2" s="463">
        <f>Categories!$G1115</f>
        <v>6355.51</v>
      </c>
      <c r="DJ2" s="463">
        <f>Categories!$G1125</f>
        <v>5401.7699999999995</v>
      </c>
      <c r="DK2" s="463">
        <f>Categories!$G1135</f>
        <v>4586.3500000000004</v>
      </c>
      <c r="DL2" s="463">
        <f>Categories!$G1145</f>
        <v>18230.46</v>
      </c>
      <c r="DM2" s="463">
        <f>Categories!$G1155</f>
        <v>4984.57</v>
      </c>
      <c r="DN2" s="463">
        <f>Categories!$G1165</f>
        <v>38001.29</v>
      </c>
      <c r="DO2" s="463">
        <f>Categories!$G1175</f>
        <v>38672.720000000001</v>
      </c>
      <c r="DP2" s="463">
        <f>Categories!$G1185</f>
        <v>63826.5</v>
      </c>
      <c r="DQ2" s="463">
        <f>Categories!$G1195</f>
        <v>54707.549999999996</v>
      </c>
      <c r="DR2" s="463">
        <f>Categories!$G1205</f>
        <v>56012.37</v>
      </c>
      <c r="DS2" s="463">
        <f>Categories!$G1215</f>
        <v>56530.590000000004</v>
      </c>
      <c r="DT2" s="463">
        <f>Categories!$G1225</f>
        <v>10233.31</v>
      </c>
      <c r="DU2" s="463">
        <f>Categories!$G1235</f>
        <v>10410.34</v>
      </c>
      <c r="DV2" s="463">
        <f>Categories!$G1245</f>
        <v>14737.37</v>
      </c>
      <c r="DW2" s="463">
        <f>Categories!$G1255</f>
        <v>10421.4</v>
      </c>
      <c r="DX2" s="463">
        <f>Categories!$G1265</f>
        <v>10436.209999999999</v>
      </c>
      <c r="DY2" s="463">
        <f>Categories!$G1275</f>
        <v>9021.85</v>
      </c>
      <c r="DZ2" s="463">
        <f>Categories!$G1285</f>
        <v>11818.65</v>
      </c>
      <c r="EA2" s="463">
        <f>Categories!$G1295</f>
        <v>10811.970000000001</v>
      </c>
      <c r="EB2" s="463">
        <f>Categories!$G1305</f>
        <v>7460.45</v>
      </c>
      <c r="EC2" s="463">
        <f>Categories!$G1315</f>
        <v>9347.7900000000009</v>
      </c>
      <c r="ED2" s="463">
        <f>Categories!$G1325</f>
        <v>14308.72</v>
      </c>
      <c r="EE2" s="463"/>
      <c r="EF2" s="463"/>
      <c r="EG2" s="463"/>
      <c r="EH2" s="463"/>
      <c r="EI2" s="463"/>
    </row>
    <row r="3" spans="1:139" x14ac:dyDescent="0.2">
      <c r="A3" s="461" t="s">
        <v>390</v>
      </c>
      <c r="B3" s="463">
        <f>Categories!G3</f>
        <v>0</v>
      </c>
      <c r="C3" s="463">
        <f>Categories!G13</f>
        <v>0</v>
      </c>
      <c r="D3" s="463">
        <f>Categories!G23</f>
        <v>0</v>
      </c>
      <c r="E3" s="463">
        <f>Categories!G33</f>
        <v>0</v>
      </c>
      <c r="F3" s="463">
        <f>Categories!G43</f>
        <v>0</v>
      </c>
      <c r="G3" s="463">
        <f>Categories!G53</f>
        <v>0</v>
      </c>
      <c r="H3" s="463">
        <f>Categories!G63</f>
        <v>0</v>
      </c>
      <c r="I3" s="463">
        <f>Categories!G73</f>
        <v>0</v>
      </c>
      <c r="J3" s="463">
        <f>Categories!G83</f>
        <v>0</v>
      </c>
      <c r="K3" s="463">
        <f>Categories!G93</f>
        <v>0</v>
      </c>
      <c r="L3" s="463">
        <f>Categories!G103</f>
        <v>0</v>
      </c>
      <c r="M3" s="463">
        <f>Categories!G113</f>
        <v>0</v>
      </c>
      <c r="N3" s="463">
        <f>Categories!G123</f>
        <v>0</v>
      </c>
      <c r="O3" s="463">
        <f>Categories!G133</f>
        <v>0</v>
      </c>
      <c r="P3" s="463">
        <f>Categories!G143</f>
        <v>0</v>
      </c>
      <c r="Q3" s="463">
        <f>Categories!G153</f>
        <v>0</v>
      </c>
      <c r="R3" s="463">
        <f>Categories!G163</f>
        <v>0</v>
      </c>
      <c r="S3" s="463">
        <f>Categories!G173</f>
        <v>0</v>
      </c>
      <c r="T3" s="463">
        <f>Categories!G183</f>
        <v>0</v>
      </c>
      <c r="U3" s="463">
        <f>Categories!G193</f>
        <v>0</v>
      </c>
      <c r="V3" s="463">
        <f>Categories!G203</f>
        <v>0</v>
      </c>
      <c r="W3" s="463">
        <f>Categories!G213</f>
        <v>0</v>
      </c>
      <c r="X3" s="463">
        <f>Categories!G223</f>
        <v>0.05</v>
      </c>
      <c r="Y3" s="463">
        <f>Categories!G233</f>
        <v>0</v>
      </c>
      <c r="Z3" s="463">
        <f>Categories!G243</f>
        <v>0</v>
      </c>
      <c r="AA3" s="463">
        <f>Categories!G253</f>
        <v>0</v>
      </c>
      <c r="AB3" s="463">
        <f>Categories!G264</f>
        <v>0</v>
      </c>
      <c r="AC3" s="463">
        <f>Categories!G274</f>
        <v>0</v>
      </c>
      <c r="AD3" s="463">
        <f>Categories!G284</f>
        <v>0</v>
      </c>
      <c r="AE3" s="463">
        <f>Categories!G294</f>
        <v>0</v>
      </c>
      <c r="AF3" s="463">
        <f>Categories!G304</f>
        <v>0</v>
      </c>
      <c r="AG3" s="463">
        <f>Categories!G314</f>
        <v>0</v>
      </c>
      <c r="AH3" s="463">
        <f>Categories!G325</f>
        <v>649.12</v>
      </c>
      <c r="AI3" s="463">
        <f>Categories!G335</f>
        <v>649.12</v>
      </c>
      <c r="AJ3" s="463">
        <f>Categories!G345</f>
        <v>649.12</v>
      </c>
      <c r="AK3" s="463">
        <f>Categories!G355</f>
        <v>1372.58</v>
      </c>
      <c r="AL3" s="463">
        <f>Categories!G365</f>
        <v>1385.46</v>
      </c>
      <c r="AM3" s="463">
        <f>Categories!G375</f>
        <v>0</v>
      </c>
      <c r="AN3" s="463">
        <f>Categories!G385</f>
        <v>0</v>
      </c>
      <c r="AO3" s="463">
        <f>Categories!G395</f>
        <v>0</v>
      </c>
      <c r="AP3" s="463">
        <f>Categories!G405</f>
        <v>0</v>
      </c>
      <c r="AQ3" s="463">
        <f>Categories!G415</f>
        <v>0</v>
      </c>
      <c r="AR3" s="463">
        <f>Categories!G426</f>
        <v>0</v>
      </c>
      <c r="AS3" s="463">
        <f>Categories!G436</f>
        <v>0</v>
      </c>
      <c r="AT3" s="463">
        <f>Categories!G446</f>
        <v>0</v>
      </c>
      <c r="AU3" s="463">
        <f>Categories!G456</f>
        <v>0</v>
      </c>
      <c r="AV3" s="463">
        <f>Categories!G466</f>
        <v>855.85</v>
      </c>
      <c r="AW3" s="463">
        <f>Categories!G476</f>
        <v>0</v>
      </c>
      <c r="AX3" s="463">
        <f>Categories!G486</f>
        <v>0</v>
      </c>
      <c r="AY3" s="463">
        <f>Categories!G496</f>
        <v>0</v>
      </c>
      <c r="AZ3" s="463">
        <f>Categories!G506</f>
        <v>0</v>
      </c>
      <c r="BA3" s="463">
        <f>Categories!G516</f>
        <v>0</v>
      </c>
      <c r="BB3" s="463">
        <f>Categories!G526</f>
        <v>0</v>
      </c>
      <c r="BC3" s="463">
        <f>Categories!G536</f>
        <v>0</v>
      </c>
      <c r="BD3" s="463">
        <f>Categories!G546</f>
        <v>0</v>
      </c>
      <c r="BE3" s="463">
        <f>Categories!G556</f>
        <v>0</v>
      </c>
      <c r="BF3" s="463">
        <f>Categories!G566</f>
        <v>0</v>
      </c>
      <c r="BG3" s="463">
        <f>Categories!G576</f>
        <v>32.99</v>
      </c>
      <c r="BH3" s="463">
        <f>Categories!G586</f>
        <v>0</v>
      </c>
      <c r="BI3" s="463">
        <f>Categories!G596</f>
        <v>0</v>
      </c>
      <c r="BJ3" s="463">
        <f>Categories!G606</f>
        <v>0</v>
      </c>
      <c r="BK3" s="463">
        <f>Categories!G616</f>
        <v>0</v>
      </c>
      <c r="BL3" s="463">
        <f>Categories!G626</f>
        <v>0</v>
      </c>
      <c r="BM3" s="463">
        <f>Categories!G636</f>
        <v>0</v>
      </c>
      <c r="BN3" s="463">
        <f>Categories!G646</f>
        <v>0</v>
      </c>
      <c r="BO3" s="463">
        <f>Categories!G656</f>
        <v>0</v>
      </c>
      <c r="BP3" s="463">
        <f>Categories!G666</f>
        <v>0</v>
      </c>
      <c r="BQ3" s="463">
        <f>Categories!G676</f>
        <v>0</v>
      </c>
      <c r="BR3" s="463">
        <f>Categories!G686</f>
        <v>0</v>
      </c>
      <c r="BS3" s="463">
        <f>Categories!G696</f>
        <v>0</v>
      </c>
      <c r="BT3" s="463">
        <f>Categories!G706</f>
        <v>0</v>
      </c>
      <c r="BU3" s="463">
        <f>Categories!G716</f>
        <v>0</v>
      </c>
      <c r="BV3" s="463">
        <f>Categories!G726</f>
        <v>0</v>
      </c>
      <c r="BW3" s="463">
        <f>Categories!G736</f>
        <v>0</v>
      </c>
      <c r="BX3" s="463">
        <f>Categories!G746</f>
        <v>0</v>
      </c>
      <c r="BY3" s="463">
        <f>Categories!G756</f>
        <v>0</v>
      </c>
      <c r="BZ3" s="463">
        <f>Categories!G766</f>
        <v>0</v>
      </c>
      <c r="CA3" s="463">
        <f>Categories!G776</f>
        <v>0</v>
      </c>
      <c r="CB3" s="463">
        <f>Categories!G786</f>
        <v>0</v>
      </c>
      <c r="CC3" s="463">
        <f>Categories!G796</f>
        <v>124.81</v>
      </c>
      <c r="CD3" s="463">
        <f>Categories!G806</f>
        <v>67475.28</v>
      </c>
      <c r="CE3" s="463">
        <f>Categories!G816</f>
        <v>123769.15999999999</v>
      </c>
      <c r="CF3" s="463">
        <f>Categories!G826</f>
        <v>121276.68</v>
      </c>
      <c r="CG3" s="463">
        <f>Categories!G836</f>
        <v>66259.03</v>
      </c>
      <c r="CH3" s="463">
        <f>Categories!G846</f>
        <v>104582.83</v>
      </c>
      <c r="CI3" s="463">
        <f>Categories!G856</f>
        <v>108661.31</v>
      </c>
      <c r="CJ3" s="463">
        <f>Categories!G866</f>
        <v>128368.06</v>
      </c>
      <c r="CK3" s="463">
        <f>Categories!G876</f>
        <v>173722.65</v>
      </c>
      <c r="CL3" s="463">
        <f>Categories!G886</f>
        <v>1965.61</v>
      </c>
      <c r="CM3" s="463">
        <f>Categories!G896</f>
        <v>0</v>
      </c>
      <c r="CN3" s="463">
        <f>Categories!G906</f>
        <v>1407.27</v>
      </c>
      <c r="CO3" s="463">
        <f>Categories!G916</f>
        <v>775.82</v>
      </c>
      <c r="CP3" s="463">
        <f>Categories!G926</f>
        <v>70579.709999999992</v>
      </c>
      <c r="CQ3" s="463">
        <f>Categories!G936</f>
        <v>71924.009999999995</v>
      </c>
      <c r="CR3" s="463">
        <f>Categories!G946</f>
        <v>0</v>
      </c>
      <c r="CS3" s="463">
        <f>Categories!G956</f>
        <v>1458.93</v>
      </c>
      <c r="CT3" s="463">
        <f>Categories!G966</f>
        <v>73059.62999999999</v>
      </c>
      <c r="CU3" s="463">
        <f>Categories!G976</f>
        <v>98547.28</v>
      </c>
      <c r="CV3" s="463">
        <f>Categories!G986</f>
        <v>89320.590000000011</v>
      </c>
      <c r="CW3" s="463">
        <f>Categories!$G996</f>
        <v>0</v>
      </c>
      <c r="CX3" s="463">
        <f>Categories!$G1006</f>
        <v>2717.17</v>
      </c>
      <c r="CY3" s="463">
        <f>Categories!$G1016</f>
        <v>0</v>
      </c>
      <c r="CZ3" s="463">
        <f>Categories!$G1026</f>
        <v>0</v>
      </c>
      <c r="DA3" s="463">
        <f>Categories!$G1036</f>
        <v>0</v>
      </c>
      <c r="DB3" s="463">
        <f>Categories!$G1046</f>
        <v>0</v>
      </c>
      <c r="DC3" s="463">
        <f>Categories!$G1056</f>
        <v>524.74</v>
      </c>
      <c r="DD3" s="463">
        <f>Categories!$G1066</f>
        <v>0</v>
      </c>
      <c r="DE3" s="463">
        <f>Categories!$G1076</f>
        <v>947.37</v>
      </c>
      <c r="DF3" s="463">
        <f>Categories!$G1086</f>
        <v>0</v>
      </c>
      <c r="DG3" s="463">
        <f>Categories!$G1096</f>
        <v>0</v>
      </c>
      <c r="DH3" s="463">
        <f>Categories!$G1106</f>
        <v>0</v>
      </c>
      <c r="DI3" s="463">
        <f>Categories!$G1116</f>
        <v>0</v>
      </c>
      <c r="DJ3" s="463">
        <f>Categories!$G1126</f>
        <v>0</v>
      </c>
      <c r="DK3" s="463">
        <f>Categories!$G1136</f>
        <v>0</v>
      </c>
      <c r="DL3" s="463">
        <f>Categories!$G1146</f>
        <v>0</v>
      </c>
      <c r="DM3" s="463">
        <f>Categories!$G1156</f>
        <v>0</v>
      </c>
      <c r="DN3" s="463">
        <f>Categories!$G1166</f>
        <v>0</v>
      </c>
      <c r="DO3" s="463">
        <f>Categories!$G1176</f>
        <v>0</v>
      </c>
      <c r="DP3" s="463">
        <f>Categories!$G1186</f>
        <v>0</v>
      </c>
      <c r="DQ3" s="463">
        <f>Categories!$G1196</f>
        <v>0</v>
      </c>
      <c r="DR3" s="463">
        <f>Categories!$G1206</f>
        <v>0</v>
      </c>
      <c r="DS3" s="463">
        <f>Categories!$G1216</f>
        <v>1093.67</v>
      </c>
      <c r="DT3" s="463">
        <f>Categories!$G1226</f>
        <v>0</v>
      </c>
      <c r="DU3" s="463">
        <f>Categories!$G1236</f>
        <v>0</v>
      </c>
      <c r="DV3" s="463">
        <f>Categories!$G1246</f>
        <v>0</v>
      </c>
      <c r="DW3" s="463">
        <f>Categories!$G1256</f>
        <v>0</v>
      </c>
      <c r="DX3" s="463">
        <f>Categories!$G1266</f>
        <v>0</v>
      </c>
      <c r="DY3" s="463">
        <f>Categories!$G1276</f>
        <v>0</v>
      </c>
      <c r="DZ3" s="463">
        <f>Categories!$G1286</f>
        <v>0</v>
      </c>
      <c r="EA3" s="463">
        <f>Categories!$G1296</f>
        <v>0</v>
      </c>
      <c r="EB3" s="463">
        <f>Categories!$G1306</f>
        <v>457.29</v>
      </c>
      <c r="EC3" s="463">
        <f>Categories!$G1316</f>
        <v>0</v>
      </c>
      <c r="ED3" s="463">
        <f>Categories!$G1326</f>
        <v>0</v>
      </c>
      <c r="EE3" s="463"/>
      <c r="EF3" s="463"/>
      <c r="EG3" s="463"/>
      <c r="EH3" s="463"/>
      <c r="EI3" s="463"/>
    </row>
    <row r="4" spans="1:139" x14ac:dyDescent="0.2">
      <c r="A4" s="461" t="s">
        <v>391</v>
      </c>
      <c r="B4" s="463">
        <f>Categories!G4</f>
        <v>192597.2</v>
      </c>
      <c r="C4" s="463">
        <f>Categories!G14</f>
        <v>132407.31</v>
      </c>
      <c r="D4" s="463">
        <f>Categories!G24</f>
        <v>126121.26999999999</v>
      </c>
      <c r="E4" s="463">
        <f>Categories!G34</f>
        <v>139275.39000000001</v>
      </c>
      <c r="F4" s="463">
        <f>Categories!G44</f>
        <v>128219.28</v>
      </c>
      <c r="G4" s="463">
        <f>Categories!G54</f>
        <v>155637.45000000001</v>
      </c>
      <c r="H4" s="463">
        <f>Categories!G64</f>
        <v>147698.21000000002</v>
      </c>
      <c r="I4" s="463">
        <f>Categories!G74</f>
        <v>143174.1</v>
      </c>
      <c r="J4" s="463">
        <f>Categories!G84</f>
        <v>165690.91</v>
      </c>
      <c r="K4" s="463">
        <f>Categories!G94</f>
        <v>147013.09</v>
      </c>
      <c r="L4" s="463">
        <f>Categories!G104</f>
        <v>140375.39000000001</v>
      </c>
      <c r="M4" s="463">
        <f>Categories!G114</f>
        <v>148845.43</v>
      </c>
      <c r="N4" s="463">
        <f>Categories!G124</f>
        <v>136134.08000000002</v>
      </c>
      <c r="O4" s="463">
        <f>Categories!G134</f>
        <v>138909.68</v>
      </c>
      <c r="P4" s="463">
        <f>Categories!G144</f>
        <v>148400.69</v>
      </c>
      <c r="Q4" s="463">
        <f>Categories!G154</f>
        <v>134761.96</v>
      </c>
      <c r="R4" s="463">
        <f>Categories!G164</f>
        <v>128707.13</v>
      </c>
      <c r="S4" s="463">
        <f>Categories!G174</f>
        <v>135908.58000000002</v>
      </c>
      <c r="T4" s="463">
        <f>Categories!G184</f>
        <v>133156.66</v>
      </c>
      <c r="U4" s="463">
        <f>Categories!G194</f>
        <v>142186.99</v>
      </c>
      <c r="V4" s="463">
        <f>Categories!G204</f>
        <v>147160.52000000002</v>
      </c>
      <c r="W4" s="463">
        <f>Categories!G214</f>
        <v>145675.04999999999</v>
      </c>
      <c r="X4" s="463">
        <f>Categories!G224</f>
        <v>149258.5</v>
      </c>
      <c r="Y4" s="463">
        <f>Categories!G234</f>
        <v>154556.35</v>
      </c>
      <c r="Z4" s="463">
        <f>Categories!G244</f>
        <v>142741.99</v>
      </c>
      <c r="AA4" s="463">
        <f>Categories!G254+Categories!G255</f>
        <v>132719.91999999998</v>
      </c>
      <c r="AB4" s="463">
        <f>Categories!G265</f>
        <v>135819.45000000001</v>
      </c>
      <c r="AC4" s="463">
        <f>Categories!G275</f>
        <v>128963.01999999999</v>
      </c>
      <c r="AD4" s="463">
        <f>Categories!G285</f>
        <v>129015.03</v>
      </c>
      <c r="AE4" s="463">
        <f>Categories!G295</f>
        <v>132477.26999999999</v>
      </c>
      <c r="AF4" s="463">
        <f>Categories!G305</f>
        <v>132535.02000000002</v>
      </c>
      <c r="AG4" s="463">
        <f>Categories!G315</f>
        <v>132074.35999999999</v>
      </c>
      <c r="AH4" s="463">
        <f>Categories!G326</f>
        <v>151950.88</v>
      </c>
      <c r="AI4" s="463">
        <f>Categories!G336</f>
        <v>147218.18</v>
      </c>
      <c r="AJ4" s="463">
        <f>Categories!G346</f>
        <v>148791.74</v>
      </c>
      <c r="AK4" s="463">
        <f>Categories!G356</f>
        <v>165955.82</v>
      </c>
      <c r="AL4" s="463">
        <f>Categories!G366</f>
        <v>137882.64000000001</v>
      </c>
      <c r="AM4" s="463">
        <f>Categories!G376</f>
        <v>139488.31</v>
      </c>
      <c r="AN4" s="463">
        <f>Categories!G386</f>
        <v>145466.37</v>
      </c>
      <c r="AO4" s="463">
        <f>Categories!G396</f>
        <v>149133.69</v>
      </c>
      <c r="AP4" s="463">
        <f>Categories!G406</f>
        <v>150335.04000000001</v>
      </c>
      <c r="AQ4" s="463">
        <f>Categories!G416+Categories!G417</f>
        <v>151439.31999999998</v>
      </c>
      <c r="AR4" s="463">
        <f>Categories!G427</f>
        <v>160393.03</v>
      </c>
      <c r="AS4" s="463">
        <f>Categories!G437</f>
        <v>158316</v>
      </c>
      <c r="AT4" s="463">
        <f>Categories!G447</f>
        <v>177565.78999999998</v>
      </c>
      <c r="AU4" s="463">
        <f>Categories!G457</f>
        <v>170358.23</v>
      </c>
      <c r="AV4" s="463">
        <f>Categories!G467</f>
        <v>171615.77000000002</v>
      </c>
      <c r="AW4" s="463">
        <f>Categories!G477</f>
        <v>182783.53999999998</v>
      </c>
      <c r="AX4" s="463">
        <f>Categories!G487</f>
        <v>181191.65000000002</v>
      </c>
      <c r="AY4" s="463">
        <f>Categories!G497</f>
        <v>187538.6</v>
      </c>
      <c r="AZ4" s="463">
        <f>Categories!G507</f>
        <v>210994.80000000002</v>
      </c>
      <c r="BA4" s="463">
        <f>Categories!G517</f>
        <v>219704.9</v>
      </c>
      <c r="BB4" s="463">
        <f>Categories!G527</f>
        <v>218188.91999999998</v>
      </c>
      <c r="BC4" s="463">
        <f>Categories!G537</f>
        <v>227684.56</v>
      </c>
      <c r="BD4" s="463">
        <f>Categories!G547</f>
        <v>220690.05</v>
      </c>
      <c r="BE4" s="463">
        <f>Categories!G557</f>
        <v>219664.63999999998</v>
      </c>
      <c r="BF4" s="463">
        <f>Categories!G567</f>
        <v>238136.6</v>
      </c>
      <c r="BG4" s="463">
        <f>Categories!G577</f>
        <v>218819.56</v>
      </c>
      <c r="BH4" s="463">
        <f>Categories!G587</f>
        <v>175041.74</v>
      </c>
      <c r="BI4" s="463">
        <f>Categories!G597</f>
        <v>210781.35</v>
      </c>
      <c r="BJ4" s="463">
        <f>Categories!G607</f>
        <v>216096.24</v>
      </c>
      <c r="BK4" s="463">
        <f>Categories!G617</f>
        <v>212105.57</v>
      </c>
      <c r="BL4" s="463">
        <f>Categories!G627</f>
        <v>240215.78000000003</v>
      </c>
      <c r="BM4" s="463">
        <f>Categories!G637</f>
        <v>239562.58000000002</v>
      </c>
      <c r="BN4" s="463">
        <f>Categories!G647</f>
        <v>215176.81</v>
      </c>
      <c r="BO4" s="463">
        <f>Categories!G657</f>
        <v>224737.16999999998</v>
      </c>
      <c r="BP4" s="463">
        <f>Categories!G667</f>
        <v>224856.26</v>
      </c>
      <c r="BQ4" s="463">
        <f>Categories!G677</f>
        <v>226626.59</v>
      </c>
      <c r="BR4" s="463">
        <f>Categories!G687</f>
        <v>221944.5</v>
      </c>
      <c r="BS4" s="463">
        <f>Categories!G697</f>
        <v>218781.86000000002</v>
      </c>
      <c r="BT4" s="463">
        <f>Categories!G707</f>
        <v>217245.38</v>
      </c>
      <c r="BU4" s="463">
        <f>Categories!G717</f>
        <v>236114.15</v>
      </c>
      <c r="BV4" s="463">
        <f>Categories!G727</f>
        <v>247994.78999999998</v>
      </c>
      <c r="BW4" s="463">
        <f>Categories!G737</f>
        <v>250996.11</v>
      </c>
      <c r="BX4" s="463">
        <f>Categories!G747</f>
        <v>271056.89</v>
      </c>
      <c r="BY4" s="463">
        <f>Categories!G757</f>
        <v>285766.46000000002</v>
      </c>
      <c r="BZ4" s="463">
        <f>Categories!G767</f>
        <v>281087.59000000003</v>
      </c>
      <c r="CA4" s="463">
        <f>Categories!G777</f>
        <v>297346.23</v>
      </c>
      <c r="CB4" s="463">
        <f>Categories!G787</f>
        <v>224098.08000000002</v>
      </c>
      <c r="CC4" s="463">
        <f>Categories!G797</f>
        <v>229857.40999999997</v>
      </c>
      <c r="CD4" s="463">
        <f>Categories!G807</f>
        <v>221085.81</v>
      </c>
      <c r="CE4" s="463">
        <f>Categories!G817</f>
        <v>221238.69</v>
      </c>
      <c r="CF4" s="463">
        <f>Categories!G827</f>
        <v>228711.74000000002</v>
      </c>
      <c r="CG4" s="463">
        <f>Categories!G837</f>
        <v>261619.61</v>
      </c>
      <c r="CH4" s="463">
        <f>Categories!G847</f>
        <v>262869.82</v>
      </c>
      <c r="CI4" s="463">
        <f>Categories!G857</f>
        <v>267681.45999999996</v>
      </c>
      <c r="CJ4" s="463">
        <f>Categories!G867</f>
        <v>256884.52</v>
      </c>
      <c r="CK4" s="463">
        <f>Categories!G877</f>
        <v>254302.98</v>
      </c>
      <c r="CL4" s="463">
        <f>Categories!G887</f>
        <v>255405.57</v>
      </c>
      <c r="CM4" s="463">
        <f>Categories!G897</f>
        <v>256651.71</v>
      </c>
      <c r="CN4" s="463">
        <f>Categories!G907</f>
        <v>264336.71000000002</v>
      </c>
      <c r="CO4" s="463">
        <f>Categories!G917</f>
        <v>226281.35</v>
      </c>
      <c r="CP4" s="463">
        <f>Categories!G927</f>
        <v>236994.6</v>
      </c>
      <c r="CQ4" s="463">
        <f>Categories!G937</f>
        <v>213698.08</v>
      </c>
      <c r="CR4" s="463">
        <f>Categories!G947</f>
        <v>205725.69</v>
      </c>
      <c r="CS4" s="463">
        <f>Categories!G957</f>
        <v>206680.43</v>
      </c>
      <c r="CT4" s="463">
        <f>Categories!G967</f>
        <v>209339.49</v>
      </c>
      <c r="CU4" s="463">
        <f>Categories!G977</f>
        <v>213354.37</v>
      </c>
      <c r="CV4" s="463">
        <f>Categories!G987</f>
        <v>220742.18000000002</v>
      </c>
      <c r="CW4" s="463">
        <f>Categories!$G997</f>
        <v>217738.33</v>
      </c>
      <c r="CX4" s="463">
        <f>Categories!$G1007</f>
        <v>212185.13</v>
      </c>
      <c r="CY4" s="463">
        <f>Categories!$G1017</f>
        <v>222834.22</v>
      </c>
      <c r="CZ4" s="463">
        <f>Categories!$G1027</f>
        <v>218893.92</v>
      </c>
      <c r="DA4" s="463">
        <f>Categories!$G1037</f>
        <v>221010.7</v>
      </c>
      <c r="DB4" s="463">
        <f>Categories!$G1047</f>
        <v>232199.88999999998</v>
      </c>
      <c r="DC4" s="463">
        <f>Categories!$G1057</f>
        <v>228640.79</v>
      </c>
      <c r="DD4" s="463">
        <f>Categories!$G1067</f>
        <v>234761</v>
      </c>
      <c r="DE4" s="463">
        <f>Categories!$G1077</f>
        <v>237887.19999999998</v>
      </c>
      <c r="DF4" s="463">
        <f>Categories!$G1087</f>
        <v>239549.69999999998</v>
      </c>
      <c r="DG4" s="463">
        <f>Categories!$G1097</f>
        <v>245569.03</v>
      </c>
      <c r="DH4" s="463">
        <f>Categories!$G1107</f>
        <v>251705.97999999998</v>
      </c>
      <c r="DI4" s="463">
        <f>Categories!$G1117</f>
        <v>258289.78</v>
      </c>
      <c r="DJ4" s="463">
        <f>Categories!$G1127</f>
        <v>268869.65999999997</v>
      </c>
      <c r="DK4" s="463">
        <f>Categories!$G1137</f>
        <v>289134.31</v>
      </c>
      <c r="DL4" s="463">
        <f>Categories!$G1147</f>
        <v>258506.12</v>
      </c>
      <c r="DM4" s="463">
        <f>Categories!$G1157</f>
        <v>268796.62</v>
      </c>
      <c r="DN4" s="463">
        <f>Categories!$G1167</f>
        <v>264336.2</v>
      </c>
      <c r="DO4" s="463">
        <f>Categories!$G1177</f>
        <v>277094.44</v>
      </c>
      <c r="DP4" s="463">
        <f>Categories!$G1187</f>
        <v>274190.57</v>
      </c>
      <c r="DQ4" s="463">
        <f>Categories!$G1197</f>
        <v>283686.49</v>
      </c>
      <c r="DR4" s="463">
        <f>Categories!$G1207</f>
        <v>293719.07</v>
      </c>
      <c r="DS4" s="463">
        <f>Categories!$G1217</f>
        <v>288175.35999999999</v>
      </c>
      <c r="DT4" s="463">
        <f>Categories!$G1227</f>
        <v>300833.07</v>
      </c>
      <c r="DU4" s="463">
        <f>Categories!$G1237</f>
        <v>336457.3</v>
      </c>
      <c r="DV4" s="463">
        <f>Categories!$G1247</f>
        <v>312423.59999999998</v>
      </c>
      <c r="DW4" s="463">
        <f>Categories!$G1257</f>
        <v>324171.63</v>
      </c>
      <c r="DX4" s="463">
        <f>Categories!$G1267</f>
        <v>329688.44</v>
      </c>
      <c r="DY4" s="463">
        <f>Categories!$G1277</f>
        <v>343268.81</v>
      </c>
      <c r="DZ4" s="463">
        <f>Categories!$G1287</f>
        <v>354366.6</v>
      </c>
      <c r="EA4" s="463">
        <f>Categories!$G1297</f>
        <v>367263.95</v>
      </c>
      <c r="EB4" s="463">
        <f>Categories!$G1307</f>
        <v>358680.83</v>
      </c>
      <c r="EC4" s="463">
        <f>Categories!$G1317</f>
        <v>369579.23</v>
      </c>
      <c r="ED4" s="463">
        <f>Categories!$G1327</f>
        <v>386101.3</v>
      </c>
      <c r="EE4" s="463"/>
      <c r="EF4" s="463"/>
      <c r="EG4" s="463"/>
      <c r="EH4" s="463"/>
      <c r="EI4" s="463"/>
    </row>
    <row r="5" spans="1:139" x14ac:dyDescent="0.2">
      <c r="A5" s="461" t="s">
        <v>392</v>
      </c>
      <c r="B5" s="463">
        <f>Categories!G5</f>
        <v>647564.35</v>
      </c>
      <c r="C5" s="463">
        <f>Categories!G15</f>
        <v>575802.04</v>
      </c>
      <c r="D5" s="463">
        <f>Categories!G25</f>
        <v>596381.49</v>
      </c>
      <c r="E5" s="463">
        <f>Categories!G35</f>
        <v>596496.54</v>
      </c>
      <c r="F5" s="463">
        <f>Categories!G45</f>
        <v>562342.44000000006</v>
      </c>
      <c r="G5" s="463">
        <f>Categories!G55</f>
        <v>611970.96</v>
      </c>
      <c r="H5" s="463">
        <f>Categories!G65</f>
        <v>616966.6399999999</v>
      </c>
      <c r="I5" s="463">
        <f>Categories!G75</f>
        <v>601167.54</v>
      </c>
      <c r="J5" s="463">
        <f>Categories!G85</f>
        <v>633672.03</v>
      </c>
      <c r="K5" s="463">
        <f>Categories!G95</f>
        <v>602331.24</v>
      </c>
      <c r="L5" s="463">
        <f>Categories!G105</f>
        <v>567518.6</v>
      </c>
      <c r="M5" s="463">
        <f>Categories!G115</f>
        <v>596047.66999999993</v>
      </c>
      <c r="N5" s="463">
        <f>Categories!G125</f>
        <v>628986.10000000009</v>
      </c>
      <c r="O5" s="463">
        <f>Categories!G135</f>
        <v>574147.78</v>
      </c>
      <c r="P5" s="463">
        <f>Categories!G145</f>
        <v>584874.41999999993</v>
      </c>
      <c r="Q5" s="463">
        <f>Categories!G155</f>
        <v>573344.97</v>
      </c>
      <c r="R5" s="463">
        <f>Categories!G165</f>
        <v>556078.90999999992</v>
      </c>
      <c r="S5" s="463">
        <f>Categories!G175</f>
        <v>585446.87</v>
      </c>
      <c r="T5" s="463">
        <f>Categories!G185</f>
        <v>573023.09</v>
      </c>
      <c r="U5" s="463">
        <f>Categories!G195</f>
        <v>582882.85</v>
      </c>
      <c r="V5" s="463">
        <f>Categories!G205</f>
        <v>610001.39</v>
      </c>
      <c r="W5" s="463">
        <f>Categories!G215</f>
        <v>600746.54</v>
      </c>
      <c r="X5" s="463">
        <f>Categories!G225</f>
        <v>591259.72</v>
      </c>
      <c r="Y5" s="463">
        <f>Categories!G235</f>
        <v>643667.18999999994</v>
      </c>
      <c r="Z5" s="463">
        <f>Categories!G245</f>
        <v>621694.05000000005</v>
      </c>
      <c r="AA5" s="463">
        <f>Categories!G256</f>
        <v>575608.67000000004</v>
      </c>
      <c r="AB5" s="463">
        <f>Categories!G266</f>
        <v>572608</v>
      </c>
      <c r="AC5" s="463">
        <f>Categories!G276</f>
        <v>557406.09000000008</v>
      </c>
      <c r="AD5" s="463">
        <f>Categories!G286</f>
        <v>566565.61</v>
      </c>
      <c r="AE5" s="463">
        <f>Categories!G296</f>
        <v>580780.97</v>
      </c>
      <c r="AF5" s="463">
        <f>Categories!G306</f>
        <v>581959.42000000004</v>
      </c>
      <c r="AG5" s="463">
        <f>Categories!G316</f>
        <v>584680.02</v>
      </c>
      <c r="AH5" s="463">
        <f>Categories!G327</f>
        <v>611316.03</v>
      </c>
      <c r="AI5" s="463">
        <f>Categories!G337</f>
        <v>585156.92000000004</v>
      </c>
      <c r="AJ5" s="463">
        <f>Categories!G347</f>
        <v>578586.27</v>
      </c>
      <c r="AK5" s="463">
        <f>Categories!G357</f>
        <v>609254.01</v>
      </c>
      <c r="AL5" s="463">
        <f>Categories!G367</f>
        <v>596485.01</v>
      </c>
      <c r="AM5" s="463">
        <f>Categories!G377</f>
        <v>562131.5</v>
      </c>
      <c r="AN5" s="463">
        <f>Categories!G387</f>
        <v>590049.96</v>
      </c>
      <c r="AO5" s="463">
        <f>Categories!G397</f>
        <v>581431.29</v>
      </c>
      <c r="AP5" s="463">
        <f>Categories!G407</f>
        <v>573976.44000000006</v>
      </c>
      <c r="AQ5" s="463">
        <f>Categories!G418</f>
        <v>607551.97</v>
      </c>
      <c r="AR5" s="463">
        <f>Categories!G428</f>
        <v>629974.05999999994</v>
      </c>
      <c r="AS5" s="463">
        <f>Categories!G438</f>
        <v>627507.84000000008</v>
      </c>
      <c r="AT5" s="463">
        <f>Categories!G448</f>
        <v>634925.99</v>
      </c>
      <c r="AU5" s="463">
        <f>Categories!G458</f>
        <v>663354.07000000007</v>
      </c>
      <c r="AV5" s="463">
        <f>Categories!G468</f>
        <v>652388.31000000006</v>
      </c>
      <c r="AW5" s="463">
        <f>Categories!G478</f>
        <v>664801.65</v>
      </c>
      <c r="AX5" s="463">
        <f>Categories!G488</f>
        <v>682832.17</v>
      </c>
      <c r="AY5" s="463">
        <f>Categories!G498</f>
        <v>649225.5199999999</v>
      </c>
      <c r="AZ5" s="463">
        <f>Categories!G508</f>
        <v>672218.79</v>
      </c>
      <c r="BA5" s="463">
        <f>Categories!G518</f>
        <v>685595.62</v>
      </c>
      <c r="BB5" s="463">
        <f>Categories!G528</f>
        <v>668874.4</v>
      </c>
      <c r="BC5" s="463">
        <f>Categories!G538</f>
        <v>678309.08000000007</v>
      </c>
      <c r="BD5" s="463">
        <f>Categories!G548</f>
        <v>692145.41999999993</v>
      </c>
      <c r="BE5" s="463">
        <f>Categories!G558</f>
        <v>656403.8600000001</v>
      </c>
      <c r="BF5" s="463">
        <f>Categories!G568</f>
        <v>677669.94</v>
      </c>
      <c r="BG5" s="463">
        <f>Categories!G578</f>
        <v>679791.42</v>
      </c>
      <c r="BH5" s="463">
        <f>Categories!G588</f>
        <v>652423.4</v>
      </c>
      <c r="BI5" s="463">
        <f>Categories!G598</f>
        <v>658209.99</v>
      </c>
      <c r="BJ5" s="463">
        <f>Categories!G608</f>
        <v>669057.41</v>
      </c>
      <c r="BK5" s="463">
        <f>Categories!G618</f>
        <v>657249.61</v>
      </c>
      <c r="BL5" s="463">
        <f>Categories!G628</f>
        <v>675110.73</v>
      </c>
      <c r="BM5" s="463">
        <f>Categories!G638</f>
        <v>664336.97</v>
      </c>
      <c r="BN5" s="463">
        <f>Categories!G648</f>
        <v>639095.04000000004</v>
      </c>
      <c r="BO5" s="463">
        <f>Categories!G658</f>
        <v>659020.31000000006</v>
      </c>
      <c r="BP5" s="463">
        <f>Categories!G668</f>
        <v>661154.08000000007</v>
      </c>
      <c r="BQ5" s="463">
        <f>Categories!G678</f>
        <v>654897.56000000006</v>
      </c>
      <c r="BR5" s="463">
        <f>Categories!G688</f>
        <v>673811.49</v>
      </c>
      <c r="BS5" s="463">
        <f>Categories!G698</f>
        <v>676268.64999999991</v>
      </c>
      <c r="BT5" s="463">
        <f>Categories!G708</f>
        <v>676780.7</v>
      </c>
      <c r="BU5" s="463">
        <f>Categories!G718</f>
        <v>714312.27999999991</v>
      </c>
      <c r="BV5" s="463">
        <f>Categories!G728</f>
        <v>717524.36</v>
      </c>
      <c r="BW5" s="463">
        <f>Categories!G738</f>
        <v>654442.79</v>
      </c>
      <c r="BX5" s="463">
        <f>Categories!G748</f>
        <v>699209.1399999999</v>
      </c>
      <c r="BY5" s="463">
        <f>Categories!G758</f>
        <v>697797.74</v>
      </c>
      <c r="BZ5" s="463">
        <f>Categories!G768</f>
        <v>696389.78</v>
      </c>
      <c r="CA5" s="463">
        <f>Categories!G778</f>
        <v>724246.27999999991</v>
      </c>
      <c r="CB5" s="463">
        <f>Categories!G788</f>
        <v>706115.64999999991</v>
      </c>
      <c r="CC5" s="463">
        <f>Categories!G798</f>
        <v>717553.05999999994</v>
      </c>
      <c r="CD5" s="463">
        <f>Categories!G808</f>
        <v>744364.14999999991</v>
      </c>
      <c r="CE5" s="463">
        <f>Categories!G818</f>
        <v>751481.40999999992</v>
      </c>
      <c r="CF5" s="463">
        <f>Categories!G828</f>
        <v>742943.79</v>
      </c>
      <c r="CG5" s="463">
        <f>Categories!G838</f>
        <v>792688.01</v>
      </c>
      <c r="CH5" s="463">
        <f>Categories!G848</f>
        <v>782243.01</v>
      </c>
      <c r="CI5" s="463">
        <f>Categories!G858</f>
        <v>774033.53</v>
      </c>
      <c r="CJ5" s="463">
        <f>Categories!G868</f>
        <v>808059.5</v>
      </c>
      <c r="CK5" s="463">
        <f>Categories!G878</f>
        <v>790663.11</v>
      </c>
      <c r="CL5" s="463">
        <f>Categories!G888</f>
        <v>783821.81</v>
      </c>
      <c r="CM5" s="463">
        <f>Categories!G898</f>
        <v>769047.2699999999</v>
      </c>
      <c r="CN5" s="463">
        <f>Categories!G908</f>
        <v>763654.72</v>
      </c>
      <c r="CO5" s="463">
        <f>Categories!G918</f>
        <v>775428.5</v>
      </c>
      <c r="CP5" s="463">
        <f>Categories!G928</f>
        <v>799350.56</v>
      </c>
      <c r="CQ5" s="463">
        <f>Categories!G938</f>
        <v>747747.46</v>
      </c>
      <c r="CR5" s="463">
        <f>Categories!G948</f>
        <v>736266.69000000006</v>
      </c>
      <c r="CS5" s="463">
        <f>Categories!G958</f>
        <v>749220.87999999989</v>
      </c>
      <c r="CT5" s="463">
        <f>Categories!G968</f>
        <v>756939.62</v>
      </c>
      <c r="CU5" s="463">
        <f>Categories!G978</f>
        <v>744805.24</v>
      </c>
      <c r="CV5" s="463">
        <f>Categories!G988</f>
        <v>744818.04</v>
      </c>
      <c r="CW5" s="463">
        <f>Categories!$G998</f>
        <v>728617.56</v>
      </c>
      <c r="CX5" s="463">
        <f>Categories!$G1008</f>
        <v>686326.27</v>
      </c>
      <c r="CY5" s="463">
        <f>Categories!$G1018</f>
        <v>716410.24</v>
      </c>
      <c r="CZ5" s="463">
        <f>Categories!$G1028</f>
        <v>701789.6</v>
      </c>
      <c r="DA5" s="463">
        <f>Categories!$G1038</f>
        <v>704563.37</v>
      </c>
      <c r="DB5" s="463">
        <f>Categories!$G1048</f>
        <v>812484.03</v>
      </c>
      <c r="DC5" s="463">
        <f>Categories!$G1058</f>
        <v>802687.58</v>
      </c>
      <c r="DD5" s="463">
        <f>Categories!$G1068</f>
        <v>803437.87</v>
      </c>
      <c r="DE5" s="463">
        <f>Categories!$G1078</f>
        <v>822203.48</v>
      </c>
      <c r="DF5" s="463">
        <f>Categories!$G1088</f>
        <v>828188.19000000006</v>
      </c>
      <c r="DG5" s="463">
        <f>Categories!$G1098</f>
        <v>829766.66999999993</v>
      </c>
      <c r="DH5" s="463">
        <f>Categories!$G1108</f>
        <v>845716.35</v>
      </c>
      <c r="DI5" s="463">
        <f>Categories!$G1118</f>
        <v>850618.30999999994</v>
      </c>
      <c r="DJ5" s="463">
        <f>Categories!$G1128</f>
        <v>853312.23</v>
      </c>
      <c r="DK5" s="463">
        <f>Categories!$G1138</f>
        <v>875457.20000000007</v>
      </c>
      <c r="DL5" s="463">
        <f>Categories!$G1148</f>
        <v>879484.37</v>
      </c>
      <c r="DM5" s="463">
        <f>Categories!$G1158</f>
        <v>884394.59</v>
      </c>
      <c r="DN5" s="463">
        <f>Categories!$G1168</f>
        <v>895785.16</v>
      </c>
      <c r="DO5" s="463">
        <f>Categories!$G1178</f>
        <v>896112.08</v>
      </c>
      <c r="DP5" s="463">
        <f>Categories!$G1188</f>
        <v>880747.53</v>
      </c>
      <c r="DQ5" s="463">
        <f>Categories!$G1198</f>
        <v>909795.73</v>
      </c>
      <c r="DR5" s="463">
        <f>Categories!$G1208</f>
        <v>957691.29</v>
      </c>
      <c r="DS5" s="463">
        <f>Categories!$G1218</f>
        <v>937047.76</v>
      </c>
      <c r="DT5" s="463">
        <f>Categories!$G1228</f>
        <v>963993.56</v>
      </c>
      <c r="DU5" s="463">
        <f>Categories!$G1238</f>
        <v>996328.36</v>
      </c>
      <c r="DV5" s="463">
        <f>Categories!$G1248</f>
        <v>958421.46</v>
      </c>
      <c r="DW5" s="463">
        <f>Categories!$G1258</f>
        <v>993878.54999999993</v>
      </c>
      <c r="DX5" s="463">
        <f>Categories!$G1268</f>
        <v>1017534.64</v>
      </c>
      <c r="DY5" s="463">
        <f>Categories!$G1278</f>
        <v>1011504.52</v>
      </c>
      <c r="DZ5" s="463">
        <f>Categories!$G1288</f>
        <v>1043959.8</v>
      </c>
      <c r="EA5" s="463">
        <f>Categories!$G1298</f>
        <v>1065041.81</v>
      </c>
      <c r="EB5" s="463">
        <f>Categories!$G1308</f>
        <v>1029625.46</v>
      </c>
      <c r="EC5" s="463">
        <f>Categories!$G1318</f>
        <v>1055601.3700000001</v>
      </c>
      <c r="ED5" s="463">
        <f>Categories!$G1328</f>
        <v>1075842.73</v>
      </c>
      <c r="EE5" s="463"/>
      <c r="EF5" s="463"/>
      <c r="EG5" s="463"/>
      <c r="EH5" s="463"/>
      <c r="EI5" s="463"/>
    </row>
    <row r="6" spans="1:139" x14ac:dyDescent="0.2">
      <c r="A6" s="461" t="s">
        <v>393</v>
      </c>
      <c r="B6" s="463">
        <f>Categories!G6</f>
        <v>191192.32000000001</v>
      </c>
      <c r="C6" s="463">
        <f>Categories!G16</f>
        <v>158152.58000000002</v>
      </c>
      <c r="D6" s="463">
        <f>Categories!G26</f>
        <v>147533.87</v>
      </c>
      <c r="E6" s="463">
        <f>Categories!G36</f>
        <v>142545.82</v>
      </c>
      <c r="F6" s="463">
        <f>Categories!G46</f>
        <v>127403.58</v>
      </c>
      <c r="G6" s="463">
        <f>Categories!G56</f>
        <v>132859.09</v>
      </c>
      <c r="H6" s="463">
        <f>Categories!G66</f>
        <v>129863.20999999999</v>
      </c>
      <c r="I6" s="463">
        <f>Categories!G76</f>
        <v>123586.96</v>
      </c>
      <c r="J6" s="463">
        <f>Categories!G86</f>
        <v>136200.91</v>
      </c>
      <c r="K6" s="463">
        <f>Categories!G96</f>
        <v>135828.15</v>
      </c>
      <c r="L6" s="463">
        <f>Categories!G106</f>
        <v>132015.53</v>
      </c>
      <c r="M6" s="463">
        <f>Categories!G116</f>
        <v>150780.53999999998</v>
      </c>
      <c r="N6" s="463">
        <f>Categories!G126</f>
        <v>155291.18</v>
      </c>
      <c r="O6" s="463">
        <f>Categories!G136</f>
        <v>125195.23</v>
      </c>
      <c r="P6" s="463">
        <f>Categories!G146</f>
        <v>114090.41</v>
      </c>
      <c r="Q6" s="463">
        <f>Categories!G156</f>
        <v>109982.85</v>
      </c>
      <c r="R6" s="463">
        <f>Categories!G166</f>
        <v>104584.23000000001</v>
      </c>
      <c r="S6" s="463">
        <f>Categories!G176</f>
        <v>113920.17</v>
      </c>
      <c r="T6" s="463">
        <f>Categories!G186</f>
        <v>115089.02</v>
      </c>
      <c r="U6" s="463">
        <f>Categories!G196</f>
        <v>112806.26000000001</v>
      </c>
      <c r="V6" s="463">
        <f>Categories!G206</f>
        <v>122713.54000000001</v>
      </c>
      <c r="W6" s="463">
        <f>Categories!G216</f>
        <v>122306.98000000001</v>
      </c>
      <c r="X6" s="463">
        <f>Categories!G226</f>
        <v>121708.41</v>
      </c>
      <c r="Y6" s="463">
        <f>Categories!G236</f>
        <v>158450.41</v>
      </c>
      <c r="Z6" s="463">
        <f>Categories!G246</f>
        <v>148989.93</v>
      </c>
      <c r="AA6" s="463">
        <f>Categories!G257</f>
        <v>126555.93</v>
      </c>
      <c r="AB6" s="463">
        <f>Categories!G267</f>
        <v>121021.08</v>
      </c>
      <c r="AC6" s="463">
        <f>Categories!G277</f>
        <v>97138.5</v>
      </c>
      <c r="AD6" s="463">
        <f>Categories!G287</f>
        <v>97431.38</v>
      </c>
      <c r="AE6" s="463">
        <f>Categories!G297</f>
        <v>111540.9</v>
      </c>
      <c r="AF6" s="463">
        <f>Categories!G307</f>
        <v>104265.27</v>
      </c>
      <c r="AG6" s="463">
        <f>Categories!G317</f>
        <v>116243.36000000002</v>
      </c>
      <c r="AH6" s="463">
        <f>Categories!G328</f>
        <v>124232.87</v>
      </c>
      <c r="AI6" s="463">
        <f>Categories!G338</f>
        <v>113392.3</v>
      </c>
      <c r="AJ6" s="463">
        <f>Categories!G348</f>
        <v>114316.9</v>
      </c>
      <c r="AK6" s="463">
        <f>Categories!G358</f>
        <v>142490.25</v>
      </c>
      <c r="AL6" s="463">
        <f>Categories!G368</f>
        <v>131495.9</v>
      </c>
      <c r="AM6" s="463">
        <f>Categories!G378</f>
        <v>108842.36</v>
      </c>
      <c r="AN6" s="463">
        <f>Categories!G388</f>
        <v>109692.73999999999</v>
      </c>
      <c r="AO6" s="463">
        <f>Categories!G398</f>
        <v>95975.069999999992</v>
      </c>
      <c r="AP6" s="463">
        <f>Categories!G408</f>
        <v>83869.399999999994</v>
      </c>
      <c r="AQ6" s="463">
        <f>Categories!G419</f>
        <v>95917.15</v>
      </c>
      <c r="AR6" s="463">
        <f>Categories!G429</f>
        <v>99497.79</v>
      </c>
      <c r="AS6" s="463">
        <f>Categories!G439</f>
        <v>99837.88</v>
      </c>
      <c r="AT6" s="463">
        <f>Categories!G449</f>
        <v>116471.4</v>
      </c>
      <c r="AU6" s="463">
        <f>Categories!G459</f>
        <v>118585.4</v>
      </c>
      <c r="AV6" s="463">
        <f>Categories!G469</f>
        <v>110402.69</v>
      </c>
      <c r="AW6" s="463">
        <f>Categories!G479</f>
        <v>132783.08000000002</v>
      </c>
      <c r="AX6" s="463">
        <f>Categories!G489</f>
        <v>132584.18</v>
      </c>
      <c r="AY6" s="463">
        <f>Categories!G499</f>
        <v>119456.23</v>
      </c>
      <c r="AZ6" s="463">
        <f>Categories!G509</f>
        <v>128674.92</v>
      </c>
      <c r="BA6" s="463">
        <f>Categories!G519</f>
        <v>124145.37</v>
      </c>
      <c r="BB6" s="463">
        <f>Categories!G529</f>
        <v>114031.72</v>
      </c>
      <c r="BC6" s="463">
        <f>Categories!G539</f>
        <v>106942.87</v>
      </c>
      <c r="BD6" s="463">
        <f>Categories!G549</f>
        <v>121559.81</v>
      </c>
      <c r="BE6" s="463">
        <f>Categories!G559</f>
        <v>99152.16</v>
      </c>
      <c r="BF6" s="463">
        <f>Categories!G569</f>
        <v>104086.7</v>
      </c>
      <c r="BG6" s="463">
        <f>Categories!G579</f>
        <v>105958.09999999999</v>
      </c>
      <c r="BH6" s="463">
        <f>Categories!G589</f>
        <v>87822.950000000012</v>
      </c>
      <c r="BI6" s="463">
        <f>Categories!G599</f>
        <v>102269.04</v>
      </c>
      <c r="BJ6" s="463">
        <f>Categories!G609</f>
        <v>109721.02</v>
      </c>
      <c r="BK6" s="463">
        <f>Categories!G619</f>
        <v>100699.31</v>
      </c>
      <c r="BL6" s="463">
        <f>Categories!G629</f>
        <v>110436</v>
      </c>
      <c r="BM6" s="463">
        <f>Categories!G639</f>
        <v>110238.79999999999</v>
      </c>
      <c r="BN6" s="463">
        <f>Categories!G649</f>
        <v>101153.64</v>
      </c>
      <c r="BO6" s="463">
        <f>Categories!G659</f>
        <v>108365.03</v>
      </c>
      <c r="BP6" s="463">
        <f>Categories!G669</f>
        <v>109052.92000000001</v>
      </c>
      <c r="BQ6" s="463">
        <f>Categories!G679</f>
        <v>101615.44</v>
      </c>
      <c r="BR6" s="463">
        <f>Categories!G689</f>
        <v>110914.12</v>
      </c>
      <c r="BS6" s="463">
        <f>Categories!G699</f>
        <v>111880.20999999999</v>
      </c>
      <c r="BT6" s="463">
        <f>Categories!G709</f>
        <v>108761</v>
      </c>
      <c r="BU6" s="463">
        <f>Categories!G719</f>
        <v>116585.17</v>
      </c>
      <c r="BV6" s="463">
        <f>Categories!G729</f>
        <v>113448.96000000001</v>
      </c>
      <c r="BW6" s="463">
        <f>Categories!G739</f>
        <v>95158.84</v>
      </c>
      <c r="BX6" s="463">
        <f>Categories!G749</f>
        <v>111165.63</v>
      </c>
      <c r="BY6" s="463">
        <f>Categories!G759</f>
        <v>114980.67</v>
      </c>
      <c r="BZ6" s="463">
        <f>Categories!G769</f>
        <v>112410.48000000001</v>
      </c>
      <c r="CA6" s="463">
        <f>Categories!G779</f>
        <v>126440.02</v>
      </c>
      <c r="CB6" s="463">
        <f>Categories!G789</f>
        <v>123708.85999999999</v>
      </c>
      <c r="CC6" s="463">
        <f>Categories!G799</f>
        <v>129252.98000000001</v>
      </c>
      <c r="CD6" s="463">
        <f>Categories!G809</f>
        <v>131644.93</v>
      </c>
      <c r="CE6" s="463">
        <f>Categories!G819</f>
        <v>128481.23000000001</v>
      </c>
      <c r="CF6" s="463">
        <f>Categories!G829</f>
        <v>131805.20000000001</v>
      </c>
      <c r="CG6" s="463">
        <f>Categories!G839</f>
        <v>152261.71</v>
      </c>
      <c r="CH6" s="463">
        <f>Categories!G849</f>
        <v>149871.38</v>
      </c>
      <c r="CI6" s="463">
        <f>Categories!G859</f>
        <v>153131.15</v>
      </c>
      <c r="CJ6" s="463">
        <f>Categories!G869</f>
        <v>167758.88</v>
      </c>
      <c r="CK6" s="463">
        <f>Categories!G879</f>
        <v>161148.46000000002</v>
      </c>
      <c r="CL6" s="463">
        <f>Categories!G889</f>
        <v>160423.46000000002</v>
      </c>
      <c r="CM6" s="463">
        <f>Categories!G899</f>
        <v>170180.52000000002</v>
      </c>
      <c r="CN6" s="463">
        <f>Categories!G909</f>
        <v>172115.4</v>
      </c>
      <c r="CO6" s="463">
        <f>Categories!G919</f>
        <v>179621.43</v>
      </c>
      <c r="CP6" s="463">
        <f>Categories!G929</f>
        <v>192124.24000000002</v>
      </c>
      <c r="CQ6" s="463">
        <f>Categories!G939</f>
        <v>185023.77999999997</v>
      </c>
      <c r="CR6" s="463">
        <f>Categories!G949</f>
        <v>170567.82</v>
      </c>
      <c r="CS6" s="463">
        <f>Categories!G959</f>
        <v>177628.65</v>
      </c>
      <c r="CT6" s="463">
        <f>Categories!G969</f>
        <v>174507.94</v>
      </c>
      <c r="CU6" s="463">
        <f>Categories!G979</f>
        <v>163948.04</v>
      </c>
      <c r="CV6" s="463">
        <f>Categories!G989</f>
        <v>159005.09999999998</v>
      </c>
      <c r="CW6" s="463">
        <f>Categories!$G999</f>
        <v>140549.54999999999</v>
      </c>
      <c r="CX6" s="463">
        <f>Categories!$G1009</f>
        <v>130140.34999999999</v>
      </c>
      <c r="CY6" s="463">
        <f>Categories!$G1019</f>
        <v>138298.34</v>
      </c>
      <c r="CZ6" s="463">
        <f>Categories!$G1029</f>
        <v>129222.94</v>
      </c>
      <c r="DA6" s="463">
        <f>Categories!$G1039</f>
        <v>127682.16</v>
      </c>
      <c r="DB6" s="463">
        <f>Categories!$G1049</f>
        <v>141264.4</v>
      </c>
      <c r="DC6" s="463">
        <f>Categories!$G1059</f>
        <v>130935.79</v>
      </c>
      <c r="DD6" s="463">
        <f>Categories!$G1069</f>
        <v>121257.70999999999</v>
      </c>
      <c r="DE6" s="463">
        <f>Categories!$G1079</f>
        <v>136119.69</v>
      </c>
      <c r="DF6" s="463">
        <f>Categories!$G1089</f>
        <v>133480.26</v>
      </c>
      <c r="DG6" s="463">
        <f>Categories!$G1099</f>
        <v>126834.1</v>
      </c>
      <c r="DH6" s="463">
        <f>Categories!$G1109</f>
        <v>132755.62</v>
      </c>
      <c r="DI6" s="463">
        <f>Categories!$G1119</f>
        <v>130548.7</v>
      </c>
      <c r="DJ6" s="463">
        <f>Categories!$G1129</f>
        <v>127011.45999999999</v>
      </c>
      <c r="DK6" s="463">
        <f>Categories!$G1139</f>
        <v>128774.26</v>
      </c>
      <c r="DL6" s="463">
        <f>Categories!$G1149</f>
        <v>125075.40000000001</v>
      </c>
      <c r="DM6" s="463">
        <f>Categories!$G1159</f>
        <v>124392.76</v>
      </c>
      <c r="DN6" s="463">
        <f>Categories!$G1169</f>
        <v>132416.64000000001</v>
      </c>
      <c r="DO6" s="463">
        <f>Categories!$G1179</f>
        <v>134925.16999999998</v>
      </c>
      <c r="DP6" s="463">
        <f>Categories!$G1189</f>
        <v>126636.48000000001</v>
      </c>
      <c r="DQ6" s="463">
        <f>Categories!$G1199</f>
        <v>137272.69</v>
      </c>
      <c r="DR6" s="463">
        <f>Categories!$G1209</f>
        <v>145664.13</v>
      </c>
      <c r="DS6" s="463">
        <f>Categories!$G1219</f>
        <v>132051.78</v>
      </c>
      <c r="DT6" s="463">
        <f>Categories!$G1229</f>
        <v>146088.12</v>
      </c>
      <c r="DU6" s="463">
        <f>Categories!$G1239</f>
        <v>156043.26</v>
      </c>
      <c r="DV6" s="463">
        <f>Categories!$G1249</f>
        <v>129331.75</v>
      </c>
      <c r="DW6" s="463">
        <f>Categories!$G1259</f>
        <v>139765.25</v>
      </c>
      <c r="DX6" s="463">
        <f>Categories!$G1269</f>
        <v>142015.53</v>
      </c>
      <c r="DY6" s="463">
        <f>Categories!$G1279</f>
        <v>129244.32999999999</v>
      </c>
      <c r="DZ6" s="463">
        <f>Categories!$G1289</f>
        <v>132940.53</v>
      </c>
      <c r="EA6" s="463">
        <f>Categories!$G1299</f>
        <v>130069.47</v>
      </c>
      <c r="EB6" s="463">
        <f>Categories!$G1309</f>
        <v>121851.14</v>
      </c>
      <c r="EC6" s="463">
        <f>Categories!$G1319</f>
        <v>136692.71</v>
      </c>
      <c r="ED6" s="463">
        <f>Categories!$G1329</f>
        <v>139838.78999999998</v>
      </c>
      <c r="EE6" s="463"/>
      <c r="EF6" s="463"/>
      <c r="EG6" s="463"/>
      <c r="EH6" s="463"/>
      <c r="EI6" s="463"/>
    </row>
    <row r="7" spans="1:139" x14ac:dyDescent="0.2">
      <c r="A7" s="461" t="s">
        <v>394</v>
      </c>
      <c r="B7" s="463">
        <f>Categories!G7</f>
        <v>181469.86000000002</v>
      </c>
      <c r="C7" s="463">
        <f>Categories!G17</f>
        <v>154794.66999999998</v>
      </c>
      <c r="D7" s="463">
        <f>Categories!G27</f>
        <v>221286.46999999997</v>
      </c>
      <c r="E7" s="463">
        <f>Categories!G37</f>
        <v>183248.65999999997</v>
      </c>
      <c r="F7" s="463">
        <f>Categories!G47</f>
        <v>152785.9</v>
      </c>
      <c r="G7" s="463">
        <f>Categories!G57</f>
        <v>164846.63</v>
      </c>
      <c r="H7" s="463">
        <f>Categories!G67</f>
        <v>157202.41999999998</v>
      </c>
      <c r="I7" s="463">
        <f>Categories!G77</f>
        <v>143803.91</v>
      </c>
      <c r="J7" s="463">
        <f>Categories!G87</f>
        <v>128818.39</v>
      </c>
      <c r="K7" s="463">
        <f>Categories!G97</f>
        <v>119759.46</v>
      </c>
      <c r="L7" s="463">
        <f>Categories!G107</f>
        <v>108771.81</v>
      </c>
      <c r="M7" s="463">
        <f>Categories!G117</f>
        <v>128233</v>
      </c>
      <c r="N7" s="463">
        <f>Categories!G127</f>
        <v>112167.64</v>
      </c>
      <c r="O7" s="463">
        <f>Categories!G137</f>
        <v>109505.48</v>
      </c>
      <c r="P7" s="463">
        <f>Categories!G147</f>
        <v>125254.02</v>
      </c>
      <c r="Q7" s="463">
        <f>Categories!G157</f>
        <v>118532.38</v>
      </c>
      <c r="R7" s="463">
        <f>Categories!G167</f>
        <v>107996.90999999999</v>
      </c>
      <c r="S7" s="463">
        <f>Categories!G177</f>
        <v>139810.35</v>
      </c>
      <c r="T7" s="463">
        <f>Categories!G187</f>
        <v>124277.56999999999</v>
      </c>
      <c r="U7" s="463">
        <f>Categories!G197</f>
        <v>115952.01</v>
      </c>
      <c r="V7" s="463">
        <f>Categories!G207</f>
        <v>108624.1</v>
      </c>
      <c r="W7" s="463">
        <f>Categories!G217</f>
        <v>83783.320000000007</v>
      </c>
      <c r="X7" s="463">
        <f>Categories!G227</f>
        <v>76252.950000000012</v>
      </c>
      <c r="Y7" s="463">
        <f>Categories!G237</f>
        <v>83300.12</v>
      </c>
      <c r="Z7" s="463">
        <f>Categories!G247</f>
        <v>99257.19</v>
      </c>
      <c r="AA7" s="463">
        <f>Categories!G258</f>
        <v>92972.01</v>
      </c>
      <c r="AB7" s="463">
        <f>Categories!G268</f>
        <v>96836.75</v>
      </c>
      <c r="AC7" s="463">
        <f>Categories!G278</f>
        <v>112981.6</v>
      </c>
      <c r="AD7" s="463">
        <f>Categories!G288</f>
        <v>105796</v>
      </c>
      <c r="AE7" s="463">
        <f>Categories!G298</f>
        <v>129091.62</v>
      </c>
      <c r="AF7" s="463">
        <f>Categories!G308</f>
        <v>118874.77</v>
      </c>
      <c r="AG7" s="463">
        <f>Categories!G318</f>
        <v>111076.81999999999</v>
      </c>
      <c r="AH7" s="463">
        <f>Categories!G329</f>
        <v>127287.38</v>
      </c>
      <c r="AI7" s="463">
        <f>Categories!G339</f>
        <v>112274.47</v>
      </c>
      <c r="AJ7" s="463">
        <f>Categories!G349</f>
        <v>98420.6</v>
      </c>
      <c r="AK7" s="463">
        <f>Categories!G359</f>
        <v>134346.51999999999</v>
      </c>
      <c r="AL7" s="463">
        <f>Categories!G369</f>
        <v>99225.78</v>
      </c>
      <c r="AM7" s="463">
        <f>Categories!G379</f>
        <v>91535.569999999992</v>
      </c>
      <c r="AN7" s="463">
        <f>Categories!G389</f>
        <v>117082.89</v>
      </c>
      <c r="AO7" s="463">
        <f>Categories!G399</f>
        <v>114491.29000000001</v>
      </c>
      <c r="AP7" s="463">
        <f>Categories!G409</f>
        <v>115532.37</v>
      </c>
      <c r="AQ7" s="463">
        <f>Categories!G420</f>
        <v>120887.67</v>
      </c>
      <c r="AR7" s="463">
        <f>Categories!G430</f>
        <v>117135</v>
      </c>
      <c r="AS7" s="463">
        <f>Categories!G440</f>
        <v>107230.89</v>
      </c>
      <c r="AT7" s="463">
        <f>Categories!G450</f>
        <v>111214.17</v>
      </c>
      <c r="AU7" s="463">
        <f>Categories!G460</f>
        <v>112128.81</v>
      </c>
      <c r="AV7" s="463">
        <f>Categories!G470</f>
        <v>110078.95</v>
      </c>
      <c r="AW7" s="463">
        <f>Categories!G480</f>
        <v>133210.52000000002</v>
      </c>
      <c r="AX7" s="463">
        <f>Categories!G490</f>
        <v>136013.45000000001</v>
      </c>
      <c r="AY7" s="463">
        <f>Categories!G500</f>
        <v>133508.45000000001</v>
      </c>
      <c r="AZ7" s="463">
        <f>Categories!G510</f>
        <v>149515.04999999999</v>
      </c>
      <c r="BA7" s="463">
        <f>Categories!G520</f>
        <v>140731.54999999999</v>
      </c>
      <c r="BB7" s="463">
        <f>Categories!G530</f>
        <v>137899.95000000001</v>
      </c>
      <c r="BC7" s="463">
        <f>Categories!G540</f>
        <v>150416.81</v>
      </c>
      <c r="BD7" s="463">
        <f>Categories!G550</f>
        <v>129793.16</v>
      </c>
      <c r="BE7" s="463">
        <f>Categories!G560</f>
        <v>124518.94</v>
      </c>
      <c r="BF7" s="463">
        <f>Categories!G570</f>
        <v>148981.31</v>
      </c>
      <c r="BG7" s="463">
        <f>Categories!G580</f>
        <v>141124.66</v>
      </c>
      <c r="BH7" s="463">
        <f>Categories!G590</f>
        <v>135610.15</v>
      </c>
      <c r="BI7" s="463">
        <f>Categories!G600</f>
        <v>166668.77000000002</v>
      </c>
      <c r="BJ7" s="463">
        <f>Categories!G610</f>
        <v>161659.85999999999</v>
      </c>
      <c r="BK7" s="463">
        <f>Categories!G620</f>
        <v>140360.66</v>
      </c>
      <c r="BL7" s="463">
        <f>Categories!G630</f>
        <v>163870.29999999999</v>
      </c>
      <c r="BM7" s="463">
        <f>Categories!G640</f>
        <v>114916.13</v>
      </c>
      <c r="BN7" s="463">
        <f>Categories!G650</f>
        <v>97018.9</v>
      </c>
      <c r="BO7" s="463">
        <f>Categories!G660</f>
        <v>96734.58</v>
      </c>
      <c r="BP7" s="463">
        <f>Categories!G670</f>
        <v>66386.709999999992</v>
      </c>
      <c r="BQ7" s="463">
        <f>Categories!G680</f>
        <v>56882.28</v>
      </c>
      <c r="BR7" s="463">
        <f>Categories!G690</f>
        <v>58083.399999999994</v>
      </c>
      <c r="BS7" s="463">
        <f>Categories!G700</f>
        <v>59177.17</v>
      </c>
      <c r="BT7" s="463">
        <f>Categories!G710</f>
        <v>49583.96</v>
      </c>
      <c r="BU7" s="463">
        <f>Categories!G720</f>
        <v>56754.86</v>
      </c>
      <c r="BV7" s="463">
        <f>Categories!G730</f>
        <v>57029.649999999994</v>
      </c>
      <c r="BW7" s="463">
        <f>Categories!G740</f>
        <v>51275.15</v>
      </c>
      <c r="BX7" s="463">
        <f>Categories!G750</f>
        <v>64332.94</v>
      </c>
      <c r="BY7" s="463">
        <f>Categories!G760</f>
        <v>61625.65</v>
      </c>
      <c r="BZ7" s="463">
        <f>Categories!G770</f>
        <v>59007.960000000006</v>
      </c>
      <c r="CA7" s="463">
        <f>Categories!G780</f>
        <v>66635.520000000004</v>
      </c>
      <c r="CB7" s="463">
        <f>Categories!G790</f>
        <v>63432.03</v>
      </c>
      <c r="CC7" s="463">
        <f>Categories!G800</f>
        <v>55962.39</v>
      </c>
      <c r="CD7" s="463">
        <f>Categories!G810</f>
        <v>58553.310000000005</v>
      </c>
      <c r="CE7" s="463">
        <f>Categories!G820</f>
        <v>61904.51</v>
      </c>
      <c r="CF7" s="463">
        <f>Categories!G830</f>
        <v>62078.18</v>
      </c>
      <c r="CG7" s="463">
        <f>Categories!G840</f>
        <v>71986.790000000008</v>
      </c>
      <c r="CH7" s="463">
        <f>Categories!G850</f>
        <v>84980.95</v>
      </c>
      <c r="CI7" s="463">
        <f>Categories!G860</f>
        <v>90475.41</v>
      </c>
      <c r="CJ7" s="463">
        <f>Categories!G870</f>
        <v>97472.489999999991</v>
      </c>
      <c r="CK7" s="463">
        <f>Categories!G880</f>
        <v>111129.70000000001</v>
      </c>
      <c r="CL7" s="463">
        <f>Categories!G890</f>
        <v>115058.81</v>
      </c>
      <c r="CM7" s="463">
        <f>Categories!G900</f>
        <v>121734.2</v>
      </c>
      <c r="CN7" s="463">
        <f>Categories!G910</f>
        <v>134870.93</v>
      </c>
      <c r="CO7" s="463">
        <f>Categories!G920</f>
        <v>136795.54999999999</v>
      </c>
      <c r="CP7" s="463">
        <f>Categories!G930</f>
        <v>61217.03</v>
      </c>
      <c r="CQ7" s="463">
        <f>Categories!G940</f>
        <v>66247</v>
      </c>
      <c r="CR7" s="463">
        <f>Categories!G950</f>
        <v>55964.03</v>
      </c>
      <c r="CS7" s="463">
        <f>Categories!G960</f>
        <v>70833.350000000006</v>
      </c>
      <c r="CT7" s="463">
        <f>Categories!G970</f>
        <v>70032.320000000007</v>
      </c>
      <c r="CU7" s="463">
        <f>Categories!G980</f>
        <v>65159.17</v>
      </c>
      <c r="CV7" s="463">
        <f>Categories!G990</f>
        <v>82202.06</v>
      </c>
      <c r="CW7" s="463">
        <f>Categories!$G1000</f>
        <v>73144.489999999991</v>
      </c>
      <c r="CX7" s="463">
        <f>Categories!$G1010</f>
        <v>71982.28</v>
      </c>
      <c r="CY7" s="463">
        <f>Categories!$G1020</f>
        <v>76871.740000000005</v>
      </c>
      <c r="CZ7" s="463">
        <f>Categories!$G1030</f>
        <v>68846.31</v>
      </c>
      <c r="DA7" s="463">
        <f>Categories!$G1040</f>
        <v>58644.3</v>
      </c>
      <c r="DB7" s="463">
        <f>Categories!$G1050</f>
        <v>60233.43</v>
      </c>
      <c r="DC7" s="463">
        <f>Categories!$G1060</f>
        <v>38653.35</v>
      </c>
      <c r="DD7" s="463">
        <f>Categories!$G1070</f>
        <v>37999.449999999997</v>
      </c>
      <c r="DE7" s="463">
        <f>Categories!$G1080</f>
        <v>41006.949999999997</v>
      </c>
      <c r="DF7" s="463">
        <f>Categories!$G1090</f>
        <v>40308.26</v>
      </c>
      <c r="DG7" s="463">
        <f>Categories!$G1100</f>
        <v>39096.080000000002</v>
      </c>
      <c r="DH7" s="463">
        <f>Categories!$G1110</f>
        <v>81086.06</v>
      </c>
      <c r="DI7" s="463">
        <f>Categories!$G1120</f>
        <v>81654.23000000001</v>
      </c>
      <c r="DJ7" s="463">
        <f>Categories!$G1130</f>
        <v>73016.12000000001</v>
      </c>
      <c r="DK7" s="463">
        <f>Categories!$G1140</f>
        <v>81567.61</v>
      </c>
      <c r="DL7" s="463">
        <f>Categories!$G1150</f>
        <v>67989.929999999993</v>
      </c>
      <c r="DM7" s="463">
        <f>Categories!$G1160</f>
        <v>54284.490000000005</v>
      </c>
      <c r="DN7" s="463">
        <f>Categories!$G1170</f>
        <v>59473.430000000008</v>
      </c>
      <c r="DO7" s="463">
        <f>Categories!$G1180</f>
        <v>77777.88</v>
      </c>
      <c r="DP7" s="463">
        <f>Categories!$G1190</f>
        <v>79416.820000000007</v>
      </c>
      <c r="DQ7" s="463">
        <f>Categories!$G1200</f>
        <v>88905.63</v>
      </c>
      <c r="DR7" s="463">
        <f>Categories!$G1210</f>
        <v>82785.39</v>
      </c>
      <c r="DS7" s="463">
        <f>Categories!$G1220</f>
        <v>71037</v>
      </c>
      <c r="DT7" s="463">
        <f>Categories!$G1230</f>
        <v>82001.39</v>
      </c>
      <c r="DU7" s="463">
        <f>Categories!$G1240</f>
        <v>78049.5</v>
      </c>
      <c r="DV7" s="463">
        <f>Categories!$G1250</f>
        <v>71211.240000000005</v>
      </c>
      <c r="DW7" s="463">
        <f>Categories!$G1260</f>
        <v>94333.41</v>
      </c>
      <c r="DX7" s="463">
        <f>Categories!$G1270</f>
        <v>94889.58</v>
      </c>
      <c r="DY7" s="463">
        <f>Categories!$G1280</f>
        <v>81624.759999999995</v>
      </c>
      <c r="DZ7" s="463">
        <f>Categories!$G1290</f>
        <v>87367.23</v>
      </c>
      <c r="EA7" s="463">
        <f>Categories!$G1300</f>
        <v>88456.66</v>
      </c>
      <c r="EB7" s="463">
        <f>Categories!$G1310</f>
        <v>83533.989999999991</v>
      </c>
      <c r="EC7" s="463">
        <f>Categories!$G1320</f>
        <v>135947.99</v>
      </c>
      <c r="ED7" s="463">
        <f>Categories!$G1330</f>
        <v>132074</v>
      </c>
      <c r="EE7" s="463"/>
      <c r="EF7" s="463"/>
      <c r="EG7" s="463"/>
      <c r="EH7" s="463"/>
      <c r="EI7" s="463"/>
    </row>
    <row r="8" spans="1:139" x14ac:dyDescent="0.2">
      <c r="A8" s="461" t="s">
        <v>395</v>
      </c>
      <c r="B8" s="463">
        <f>Categories!G8</f>
        <v>0</v>
      </c>
      <c r="C8" s="463">
        <f>Categories!G18</f>
        <v>0</v>
      </c>
      <c r="D8" s="463">
        <f>Categories!G28</f>
        <v>925.47</v>
      </c>
      <c r="E8" s="463">
        <f>Categories!G38</f>
        <v>0</v>
      </c>
      <c r="F8" s="463">
        <f>Categories!G48</f>
        <v>0</v>
      </c>
      <c r="G8" s="463">
        <f>Categories!G58</f>
        <v>0</v>
      </c>
      <c r="H8" s="463">
        <f>Categories!G68</f>
        <v>0</v>
      </c>
      <c r="I8" s="463">
        <f>Categories!G78</f>
        <v>0</v>
      </c>
      <c r="J8" s="463">
        <f>Categories!G88</f>
        <v>0</v>
      </c>
      <c r="K8" s="463">
        <f>Categories!G98</f>
        <v>0</v>
      </c>
      <c r="L8" s="463">
        <f>Categories!G108</f>
        <v>0</v>
      </c>
      <c r="M8" s="463">
        <f>Categories!G118</f>
        <v>0</v>
      </c>
      <c r="N8" s="463">
        <f>Categories!G128</f>
        <v>0</v>
      </c>
      <c r="O8" s="463">
        <f>Categories!G138</f>
        <v>0</v>
      </c>
      <c r="P8" s="463">
        <f>Categories!G148</f>
        <v>0</v>
      </c>
      <c r="Q8" s="463">
        <f>Categories!G158</f>
        <v>0</v>
      </c>
      <c r="R8" s="463">
        <f>Categories!G168</f>
        <v>0</v>
      </c>
      <c r="S8" s="463">
        <f>Categories!G178</f>
        <v>0</v>
      </c>
      <c r="T8" s="463">
        <f>Categories!G188</f>
        <v>0</v>
      </c>
      <c r="U8" s="463">
        <f>Categories!G198</f>
        <v>0</v>
      </c>
      <c r="V8" s="463">
        <f>Categories!G208</f>
        <v>0</v>
      </c>
      <c r="W8" s="463">
        <f>Categories!G218</f>
        <v>0</v>
      </c>
      <c r="X8" s="463">
        <f>Categories!G228</f>
        <v>0</v>
      </c>
      <c r="Y8" s="463">
        <f>Categories!G238</f>
        <v>0</v>
      </c>
      <c r="Z8" s="463">
        <f>Categories!G248</f>
        <v>0</v>
      </c>
      <c r="AA8" s="463">
        <f>Categories!G259</f>
        <v>0</v>
      </c>
      <c r="AB8" s="463">
        <f>Categories!G269</f>
        <v>0</v>
      </c>
      <c r="AC8" s="463">
        <f>Categories!G279</f>
        <v>2142.7800000000002</v>
      </c>
      <c r="AD8" s="463">
        <f>Categories!G289</f>
        <v>1660.28</v>
      </c>
      <c r="AE8" s="463">
        <f>Categories!G299</f>
        <v>2903.4700000000003</v>
      </c>
      <c r="AF8" s="463">
        <f>Categories!G309</f>
        <v>2417.52</v>
      </c>
      <c r="AG8" s="463">
        <f>Categories!G319</f>
        <v>1942.06</v>
      </c>
      <c r="AH8" s="463">
        <f>Categories!G330</f>
        <v>2906</v>
      </c>
      <c r="AI8" s="463">
        <f>Categories!G340</f>
        <v>2419.59</v>
      </c>
      <c r="AJ8" s="463">
        <f>Categories!G350</f>
        <v>1951.62</v>
      </c>
      <c r="AK8" s="463">
        <f>Categories!G360</f>
        <v>4120.1000000000004</v>
      </c>
      <c r="AL8" s="463">
        <f>Categories!G370</f>
        <v>4149.68</v>
      </c>
      <c r="AM8" s="463">
        <f>Categories!G380</f>
        <v>3674.45</v>
      </c>
      <c r="AN8" s="463">
        <f>Categories!G390</f>
        <v>5871.92</v>
      </c>
      <c r="AO8" s="463">
        <f>Categories!G400</f>
        <v>5406.08</v>
      </c>
      <c r="AP8" s="463">
        <f>Categories!G410</f>
        <v>4939.76</v>
      </c>
      <c r="AQ8" s="463">
        <f>Categories!G421</f>
        <v>6311.3</v>
      </c>
      <c r="AR8" s="463">
        <f>Categories!G431</f>
        <v>5345.1900000000005</v>
      </c>
      <c r="AS8" s="463">
        <f>Categories!G441</f>
        <v>4377.7700000000004</v>
      </c>
      <c r="AT8" s="463">
        <f>Categories!G451</f>
        <v>7388.34</v>
      </c>
      <c r="AU8" s="463">
        <f>Categories!G461</f>
        <v>6467.02</v>
      </c>
      <c r="AV8" s="463">
        <f>Categories!G471</f>
        <v>4478.0600000000004</v>
      </c>
      <c r="AW8" s="463">
        <f>Categories!G481</f>
        <v>3496.19</v>
      </c>
      <c r="AX8" s="463">
        <f>Categories!G491</f>
        <v>2518.48</v>
      </c>
      <c r="AY8" s="463">
        <f>Categories!G501</f>
        <v>1523.61</v>
      </c>
      <c r="AZ8" s="463">
        <f>Categories!G511</f>
        <v>530.24</v>
      </c>
      <c r="BA8" s="463">
        <f>Categories!G521</f>
        <v>0</v>
      </c>
      <c r="BB8" s="463">
        <f>Categories!G531</f>
        <v>0</v>
      </c>
      <c r="BC8" s="463">
        <f>Categories!G541</f>
        <v>0</v>
      </c>
      <c r="BD8" s="463">
        <f>Categories!G551</f>
        <v>0</v>
      </c>
      <c r="BE8" s="463">
        <f>Categories!G561</f>
        <v>0</v>
      </c>
      <c r="BF8" s="463">
        <f>Categories!G571</f>
        <v>0</v>
      </c>
      <c r="BG8" s="463">
        <f>Categories!G581</f>
        <v>0</v>
      </c>
      <c r="BH8" s="463">
        <f>Categories!G591</f>
        <v>0</v>
      </c>
      <c r="BI8" s="463">
        <f>Categories!G601</f>
        <v>0</v>
      </c>
      <c r="BJ8" s="463">
        <f>Categories!G611</f>
        <v>0</v>
      </c>
      <c r="BK8" s="463">
        <f>Categories!G621</f>
        <v>0</v>
      </c>
      <c r="BL8" s="463">
        <f>Categories!G631</f>
        <v>0</v>
      </c>
      <c r="BM8" s="463">
        <f>Categories!G641</f>
        <v>0</v>
      </c>
      <c r="BN8" s="463">
        <f>Categories!G651</f>
        <v>0</v>
      </c>
      <c r="BO8" s="463">
        <f>Categories!G661</f>
        <v>0</v>
      </c>
      <c r="BP8" s="463">
        <f>Categories!G671</f>
        <v>0</v>
      </c>
      <c r="BQ8" s="463">
        <f>Categories!G681</f>
        <v>0</v>
      </c>
      <c r="BR8" s="463">
        <f>Categories!G691</f>
        <v>0</v>
      </c>
      <c r="BS8" s="463">
        <f>Categories!G701</f>
        <v>0</v>
      </c>
      <c r="BT8" s="463">
        <f>Categories!G711</f>
        <v>0</v>
      </c>
      <c r="BU8" s="463">
        <f>Categories!G721</f>
        <v>0</v>
      </c>
      <c r="BV8" s="463">
        <f>Categories!G731</f>
        <v>0</v>
      </c>
      <c r="BW8" s="463">
        <f>Categories!G741</f>
        <v>0</v>
      </c>
      <c r="BX8" s="463">
        <f>Categories!G751</f>
        <v>0</v>
      </c>
      <c r="BY8" s="463">
        <f>Categories!G761</f>
        <v>0</v>
      </c>
      <c r="BZ8" s="463">
        <f>Categories!G771</f>
        <v>0</v>
      </c>
      <c r="CA8" s="463">
        <f>Categories!G781</f>
        <v>0</v>
      </c>
      <c r="CB8" s="463">
        <f>Categories!G791</f>
        <v>0</v>
      </c>
      <c r="CC8" s="463">
        <f>Categories!G801</f>
        <v>0</v>
      </c>
      <c r="CD8" s="463">
        <f>Categories!G811</f>
        <v>0</v>
      </c>
      <c r="CE8" s="463">
        <f>Categories!G821</f>
        <v>0</v>
      </c>
      <c r="CF8" s="463">
        <f>Categories!G831</f>
        <v>0</v>
      </c>
      <c r="CG8" s="463">
        <f>Categories!G841</f>
        <v>0</v>
      </c>
      <c r="CH8" s="463">
        <f>Categories!G851</f>
        <v>17.36</v>
      </c>
      <c r="CI8" s="463">
        <f>Categories!G861</f>
        <v>0</v>
      </c>
      <c r="CJ8" s="463">
        <f>Categories!G871</f>
        <v>0</v>
      </c>
      <c r="CK8" s="463">
        <f>Categories!G881</f>
        <v>0</v>
      </c>
      <c r="CL8" s="463">
        <f>Categories!G891</f>
        <v>0</v>
      </c>
      <c r="CM8" s="463">
        <f>Categories!G901</f>
        <v>0</v>
      </c>
      <c r="CN8" s="463">
        <f>Categories!G911</f>
        <v>0</v>
      </c>
      <c r="CO8" s="463">
        <f>Categories!G921</f>
        <v>0</v>
      </c>
      <c r="CP8" s="463">
        <f>Categories!G931</f>
        <v>0</v>
      </c>
      <c r="CQ8" s="463">
        <f>Categories!G941</f>
        <v>0</v>
      </c>
      <c r="CR8" s="463">
        <f>Categories!G951</f>
        <v>0</v>
      </c>
      <c r="CS8" s="463">
        <f>Categories!G961</f>
        <v>0</v>
      </c>
      <c r="CT8" s="463">
        <f>Categories!G971</f>
        <v>0</v>
      </c>
      <c r="CU8" s="463">
        <f>Categories!G981</f>
        <v>0</v>
      </c>
      <c r="CV8" s="463">
        <f>Categories!G991</f>
        <v>0</v>
      </c>
      <c r="CW8" s="463">
        <f>Categories!$G1001</f>
        <v>0</v>
      </c>
      <c r="CX8" s="463">
        <f>Categories!$G1011</f>
        <v>0</v>
      </c>
      <c r="CY8" s="463">
        <f>Categories!$G1021</f>
        <v>0</v>
      </c>
      <c r="CZ8" s="463">
        <f>Categories!$G1031</f>
        <v>0</v>
      </c>
      <c r="DA8" s="463">
        <f>Categories!$G1041</f>
        <v>0</v>
      </c>
      <c r="DB8" s="463">
        <f>Categories!$G1051</f>
        <v>0</v>
      </c>
      <c r="DC8" s="463">
        <f>Categories!$G1061</f>
        <v>0</v>
      </c>
      <c r="DD8" s="463">
        <f>Categories!$G1071</f>
        <v>0</v>
      </c>
      <c r="DE8" s="463">
        <f>Categories!$G1081</f>
        <v>0</v>
      </c>
      <c r="DF8" s="463">
        <f>Categories!$G1091</f>
        <v>0</v>
      </c>
      <c r="DG8" s="463">
        <f>Categories!$G1101</f>
        <v>0</v>
      </c>
      <c r="DH8" s="463">
        <f>Categories!$G1111</f>
        <v>0</v>
      </c>
      <c r="DI8" s="463">
        <f>Categories!$G1121</f>
        <v>0</v>
      </c>
      <c r="DJ8" s="463">
        <f>Categories!$G1131</f>
        <v>0</v>
      </c>
      <c r="DK8" s="463">
        <f>Categories!$G1141</f>
        <v>0</v>
      </c>
      <c r="DL8" s="463">
        <f>Categories!$G1151</f>
        <v>0</v>
      </c>
      <c r="DM8" s="463">
        <f>Categories!$G1161</f>
        <v>0</v>
      </c>
      <c r="DN8" s="463">
        <f>Categories!$G1171</f>
        <v>0</v>
      </c>
      <c r="DO8" s="463">
        <f>Categories!$G1181</f>
        <v>0</v>
      </c>
      <c r="DP8" s="463">
        <f>Categories!$G1191</f>
        <v>0</v>
      </c>
      <c r="DQ8" s="463">
        <f>Categories!$G1201</f>
        <v>0</v>
      </c>
      <c r="DR8" s="463">
        <f>Categories!$G1211</f>
        <v>0</v>
      </c>
      <c r="DS8" s="463">
        <f>Categories!$G1221</f>
        <v>0</v>
      </c>
      <c r="DT8" s="463">
        <f>Categories!$G1231</f>
        <v>0</v>
      </c>
      <c r="DU8" s="463">
        <f>Categories!$G1241</f>
        <v>0</v>
      </c>
      <c r="DV8" s="463">
        <f>Categories!$G1251</f>
        <v>0</v>
      </c>
      <c r="DW8" s="463">
        <f>Categories!$G1261</f>
        <v>0</v>
      </c>
      <c r="DX8" s="463">
        <f>Categories!$G1271</f>
        <v>0</v>
      </c>
      <c r="DY8" s="463">
        <f>Categories!$G1281</f>
        <v>0</v>
      </c>
      <c r="DZ8" s="463">
        <f>Categories!$G1291</f>
        <v>0</v>
      </c>
      <c r="EA8" s="463">
        <f>Categories!$G1301</f>
        <v>0</v>
      </c>
      <c r="EB8" s="463">
        <f>Categories!$G1311</f>
        <v>0</v>
      </c>
      <c r="EC8" s="463">
        <f>Categories!$G1321</f>
        <v>0</v>
      </c>
      <c r="ED8" s="463">
        <f>Categories!$G1331</f>
        <v>0</v>
      </c>
      <c r="EE8" s="463"/>
      <c r="EF8" s="463"/>
      <c r="EG8" s="463"/>
      <c r="EH8" s="463"/>
      <c r="EI8" s="463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C33FA-AB9E-4EEA-BB36-E62CE916837E}">
  <dimension ref="A1:G23"/>
  <sheetViews>
    <sheetView zoomScale="130" zoomScaleNormal="130" workbookViewId="0">
      <selection activeCell="F8" sqref="F8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437</v>
      </c>
      <c r="B8" s="340" t="s">
        <v>38</v>
      </c>
      <c r="C8" s="340" t="s">
        <v>3</v>
      </c>
      <c r="D8" s="342">
        <v>0</v>
      </c>
      <c r="E8" s="342">
        <v>308.27999999999997</v>
      </c>
      <c r="F8" s="342">
        <v>3619.57</v>
      </c>
    </row>
    <row r="9" spans="1:7" x14ac:dyDescent="0.25">
      <c r="A9" s="340" t="s">
        <v>437</v>
      </c>
      <c r="B9" s="340" t="s">
        <v>38</v>
      </c>
      <c r="C9" s="340" t="s">
        <v>323</v>
      </c>
      <c r="D9" s="342">
        <v>549.12</v>
      </c>
      <c r="E9" s="342">
        <v>18236.98</v>
      </c>
      <c r="F9" s="342">
        <v>35921.449999999997</v>
      </c>
    </row>
    <row r="10" spans="1:7" x14ac:dyDescent="0.25">
      <c r="A10" s="340" t="s">
        <v>437</v>
      </c>
      <c r="B10" s="340" t="s">
        <v>38</v>
      </c>
      <c r="C10" s="340" t="s">
        <v>41</v>
      </c>
      <c r="D10" s="342">
        <v>105074.27</v>
      </c>
      <c r="E10" s="342">
        <v>37579.32</v>
      </c>
      <c r="F10" s="342">
        <v>1135806.4099999999</v>
      </c>
    </row>
    <row r="11" spans="1:7" x14ac:dyDescent="0.25">
      <c r="A11" s="340" t="s">
        <v>437</v>
      </c>
      <c r="B11" s="340" t="s">
        <v>39</v>
      </c>
      <c r="C11" s="340" t="s">
        <v>41</v>
      </c>
      <c r="D11" s="342">
        <v>27158.91</v>
      </c>
      <c r="E11" s="342">
        <v>9532.23</v>
      </c>
      <c r="F11" s="342">
        <v>100581.55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1278460</v>
      </c>
      <c r="E14" s="390"/>
      <c r="F14" s="417"/>
    </row>
    <row r="15" spans="1:7" x14ac:dyDescent="0.25">
      <c r="A15" s="336" t="s">
        <v>39</v>
      </c>
      <c r="B15" s="415">
        <f>SUM(D11:F11)</f>
        <v>137272.69</v>
      </c>
    </row>
    <row r="16" spans="1:7" x14ac:dyDescent="0.25">
      <c r="A16" s="336" t="s">
        <v>2</v>
      </c>
      <c r="B16" s="415">
        <f>SUM(D9:F9)</f>
        <v>54707.549999999996</v>
      </c>
    </row>
    <row r="17" spans="1:6" x14ac:dyDescent="0.25">
      <c r="A17" s="336" t="s">
        <v>3</v>
      </c>
      <c r="B17" s="415">
        <f>SUM(D8:F8)</f>
        <v>3927.8500000000004</v>
      </c>
    </row>
    <row r="18" spans="1:6" ht="15.75" thickBot="1" x14ac:dyDescent="0.3">
      <c r="A18" s="361"/>
      <c r="B18" s="416">
        <f>SUM(B14:B17)</f>
        <v>1474368.09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EDC5-B92C-42D4-827A-7AC36EB50026}">
  <dimension ref="A1:G23"/>
  <sheetViews>
    <sheetView zoomScale="130" zoomScaleNormal="130" workbookViewId="0">
      <selection activeCell="D18" sqref="D18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437</v>
      </c>
      <c r="B8" s="340" t="s">
        <v>38</v>
      </c>
      <c r="C8" s="340" t="s">
        <v>3</v>
      </c>
      <c r="D8" s="342">
        <v>328.28</v>
      </c>
      <c r="E8" s="342">
        <v>0</v>
      </c>
      <c r="F8" s="342">
        <v>4086.52</v>
      </c>
    </row>
    <row r="9" spans="1:7" x14ac:dyDescent="0.25">
      <c r="A9" s="340" t="s">
        <v>437</v>
      </c>
      <c r="B9" s="340" t="s">
        <v>38</v>
      </c>
      <c r="C9" s="340" t="s">
        <v>323</v>
      </c>
      <c r="D9" s="342">
        <v>25297.52</v>
      </c>
      <c r="E9" s="342">
        <v>1739.3</v>
      </c>
      <c r="F9" s="342">
        <v>36789.68</v>
      </c>
    </row>
    <row r="10" spans="1:7" x14ac:dyDescent="0.25">
      <c r="A10" s="340" t="s">
        <v>437</v>
      </c>
      <c r="B10" s="340" t="s">
        <v>38</v>
      </c>
      <c r="C10" s="340" t="s">
        <v>41</v>
      </c>
      <c r="D10" s="342">
        <v>42310.69</v>
      </c>
      <c r="E10" s="342">
        <v>83387.61</v>
      </c>
      <c r="F10" s="342">
        <v>1104241.82</v>
      </c>
    </row>
    <row r="11" spans="1:7" x14ac:dyDescent="0.25">
      <c r="A11" s="340" t="s">
        <v>437</v>
      </c>
      <c r="B11" s="340" t="s">
        <v>39</v>
      </c>
      <c r="C11" s="340" t="s">
        <v>41</v>
      </c>
      <c r="D11" s="342">
        <v>9707.7099999999991</v>
      </c>
      <c r="E11" s="342">
        <v>14118.72</v>
      </c>
      <c r="F11" s="342">
        <v>102810.05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1229940.1200000001</v>
      </c>
      <c r="E14" s="390"/>
      <c r="F14" s="417"/>
    </row>
    <row r="15" spans="1:7" x14ac:dyDescent="0.25">
      <c r="A15" s="336" t="s">
        <v>39</v>
      </c>
      <c r="B15" s="415">
        <f>SUM(D11:F11)</f>
        <v>126636.48000000001</v>
      </c>
    </row>
    <row r="16" spans="1:7" x14ac:dyDescent="0.25">
      <c r="A16" s="336" t="s">
        <v>2</v>
      </c>
      <c r="B16" s="415">
        <f>SUM(D9:F9)</f>
        <v>63826.5</v>
      </c>
    </row>
    <row r="17" spans="1:6" x14ac:dyDescent="0.25">
      <c r="A17" s="336" t="s">
        <v>3</v>
      </c>
      <c r="B17" s="415">
        <f>SUM(D8:F8)</f>
        <v>4414.8</v>
      </c>
    </row>
    <row r="18" spans="1:6" ht="15.75" thickBot="1" x14ac:dyDescent="0.3">
      <c r="A18" s="361"/>
      <c r="B18" s="416">
        <f>SUM(B14:B17)</f>
        <v>1424817.9000000001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6FB8-FE77-481D-82B8-09B4A45E550A}">
  <dimension ref="A1:G23"/>
  <sheetViews>
    <sheetView zoomScale="130" zoomScaleNormal="130" workbookViewId="0">
      <selection activeCell="B15" sqref="B15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437</v>
      </c>
      <c r="B8" s="340" t="s">
        <v>38</v>
      </c>
      <c r="C8" s="340" t="s">
        <v>3</v>
      </c>
      <c r="D8" s="342">
        <v>0</v>
      </c>
      <c r="E8" s="342">
        <v>0</v>
      </c>
      <c r="F8" s="342">
        <v>4536.26</v>
      </c>
    </row>
    <row r="9" spans="1:7" x14ac:dyDescent="0.25">
      <c r="A9" s="340" t="s">
        <v>437</v>
      </c>
      <c r="B9" s="340" t="s">
        <v>38</v>
      </c>
      <c r="C9" s="340" t="s">
        <v>323</v>
      </c>
      <c r="D9" s="342">
        <v>1832.92</v>
      </c>
      <c r="E9" s="342">
        <v>32340.95</v>
      </c>
      <c r="F9" s="342">
        <v>4498.8500000000004</v>
      </c>
    </row>
    <row r="10" spans="1:7" x14ac:dyDescent="0.25">
      <c r="A10" s="340" t="s">
        <v>437</v>
      </c>
      <c r="B10" s="340" t="s">
        <v>38</v>
      </c>
      <c r="C10" s="340" t="s">
        <v>41</v>
      </c>
      <c r="D10" s="342">
        <v>98281.59</v>
      </c>
      <c r="E10" s="342">
        <v>54171.99</v>
      </c>
      <c r="F10" s="342">
        <v>1093994.56</v>
      </c>
    </row>
    <row r="11" spans="1:7" x14ac:dyDescent="0.25">
      <c r="A11" s="340" t="s">
        <v>437</v>
      </c>
      <c r="B11" s="340" t="s">
        <v>39</v>
      </c>
      <c r="C11" s="340" t="s">
        <v>41</v>
      </c>
      <c r="D11" s="342">
        <v>18230.8</v>
      </c>
      <c r="E11" s="342">
        <v>18468.689999999999</v>
      </c>
      <c r="F11" s="342">
        <v>98225.68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1246448.1400000001</v>
      </c>
      <c r="E14" s="390"/>
      <c r="F14" s="417"/>
    </row>
    <row r="15" spans="1:7" x14ac:dyDescent="0.25">
      <c r="A15" s="336" t="s">
        <v>39</v>
      </c>
      <c r="B15" s="415">
        <f>SUM(D11:F11)</f>
        <v>134925.16999999998</v>
      </c>
    </row>
    <row r="16" spans="1:7" x14ac:dyDescent="0.25">
      <c r="A16" s="336" t="s">
        <v>2</v>
      </c>
      <c r="B16" s="415">
        <f>SUM(D9:F9)</f>
        <v>38672.720000000001</v>
      </c>
    </row>
    <row r="17" spans="1:6" x14ac:dyDescent="0.25">
      <c r="A17" s="336" t="s">
        <v>3</v>
      </c>
      <c r="B17" s="415">
        <f>SUM(D8:F8)</f>
        <v>4536.26</v>
      </c>
    </row>
    <row r="18" spans="1:6" ht="15.75" thickBot="1" x14ac:dyDescent="0.3">
      <c r="A18" s="361"/>
      <c r="B18" s="416">
        <f>SUM(B14:B17)</f>
        <v>1424582.29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195A-0A40-4804-B46B-620F6F686F55}">
  <dimension ref="A1:G23"/>
  <sheetViews>
    <sheetView zoomScale="130" zoomScaleNormal="130" workbookViewId="0">
      <selection activeCell="D8" sqref="D8:D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437</v>
      </c>
      <c r="B8" s="340" t="s">
        <v>38</v>
      </c>
      <c r="C8" s="340" t="s">
        <v>3</v>
      </c>
      <c r="D8" s="342">
        <v>0</v>
      </c>
      <c r="E8" s="342">
        <v>421.07</v>
      </c>
      <c r="F8" s="342">
        <v>4677.9799999999996</v>
      </c>
    </row>
    <row r="9" spans="1:7" x14ac:dyDescent="0.25">
      <c r="A9" s="340" t="s">
        <v>437</v>
      </c>
      <c r="B9" s="340" t="s">
        <v>38</v>
      </c>
      <c r="C9" s="340" t="s">
        <v>323</v>
      </c>
      <c r="D9" s="342">
        <v>33050.29</v>
      </c>
      <c r="E9" s="342">
        <v>566.44000000000005</v>
      </c>
      <c r="F9" s="342">
        <v>4384.5600000000004</v>
      </c>
    </row>
    <row r="10" spans="1:7" x14ac:dyDescent="0.25">
      <c r="A10" s="340" t="s">
        <v>437</v>
      </c>
      <c r="B10" s="340" t="s">
        <v>38</v>
      </c>
      <c r="C10" s="340" t="s">
        <v>41</v>
      </c>
      <c r="D10" s="342">
        <v>74051.539999999994</v>
      </c>
      <c r="E10" s="342">
        <v>43957.35</v>
      </c>
      <c r="F10" s="342">
        <v>1096486.8500000001</v>
      </c>
    </row>
    <row r="11" spans="1:7" x14ac:dyDescent="0.25">
      <c r="A11" s="340" t="s">
        <v>437</v>
      </c>
      <c r="B11" s="340" t="s">
        <v>39</v>
      </c>
      <c r="C11" s="340" t="s">
        <v>41</v>
      </c>
      <c r="D11" s="342">
        <v>21940.84</v>
      </c>
      <c r="E11" s="342">
        <v>12488.17</v>
      </c>
      <c r="F11" s="342">
        <v>97987.63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1214495.74</v>
      </c>
      <c r="E14" s="390"/>
      <c r="F14" s="417"/>
    </row>
    <row r="15" spans="1:7" x14ac:dyDescent="0.25">
      <c r="A15" s="336" t="s">
        <v>39</v>
      </c>
      <c r="B15" s="415">
        <f>SUM(D11:F11)</f>
        <v>132416.64000000001</v>
      </c>
    </row>
    <row r="16" spans="1:7" x14ac:dyDescent="0.25">
      <c r="A16" s="336" t="s">
        <v>2</v>
      </c>
      <c r="B16" s="415">
        <f>SUM(D9:F9)</f>
        <v>38001.29</v>
      </c>
    </row>
    <row r="17" spans="1:6" x14ac:dyDescent="0.25">
      <c r="A17" s="336" t="s">
        <v>3</v>
      </c>
      <c r="B17" s="415">
        <f>SUM(D8:F8)</f>
        <v>5099.0499999999993</v>
      </c>
    </row>
    <row r="18" spans="1:6" ht="15.75" thickBot="1" x14ac:dyDescent="0.3">
      <c r="A18" s="361"/>
      <c r="B18" s="416">
        <f>SUM(B14:B17)</f>
        <v>1390012.72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F10FC-A758-4164-A63F-194C3C56EF29}">
  <dimension ref="A1:G23"/>
  <sheetViews>
    <sheetView zoomScale="130" zoomScaleNormal="130" workbookViewId="0">
      <selection activeCell="D8" sqref="D8:D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437</v>
      </c>
      <c r="B8" s="340" t="s">
        <v>38</v>
      </c>
      <c r="C8" s="340" t="s">
        <v>3</v>
      </c>
      <c r="D8" s="342">
        <v>421.07</v>
      </c>
      <c r="E8" s="342">
        <v>0</v>
      </c>
      <c r="F8" s="342">
        <v>5127.9799999999996</v>
      </c>
    </row>
    <row r="9" spans="1:7" x14ac:dyDescent="0.25">
      <c r="A9" s="340" t="s">
        <v>437</v>
      </c>
      <c r="B9" s="340" t="s">
        <v>38</v>
      </c>
      <c r="C9" s="340" t="s">
        <v>323</v>
      </c>
      <c r="D9" s="342">
        <v>578.72</v>
      </c>
      <c r="E9" s="342">
        <v>296.12</v>
      </c>
      <c r="F9" s="342">
        <v>4109.7299999999996</v>
      </c>
    </row>
    <row r="10" spans="1:7" x14ac:dyDescent="0.25">
      <c r="A10" s="340" t="s">
        <v>437</v>
      </c>
      <c r="B10" s="340" t="s">
        <v>38</v>
      </c>
      <c r="C10" s="340" t="s">
        <v>41</v>
      </c>
      <c r="D10" s="342">
        <v>71090.95</v>
      </c>
      <c r="E10" s="342">
        <v>42426.8</v>
      </c>
      <c r="F10" s="342">
        <v>1088408.8999999999</v>
      </c>
    </row>
    <row r="11" spans="1:7" x14ac:dyDescent="0.25">
      <c r="A11" s="340" t="s">
        <v>437</v>
      </c>
      <c r="B11" s="340" t="s">
        <v>39</v>
      </c>
      <c r="C11" s="340" t="s">
        <v>41</v>
      </c>
      <c r="D11" s="342">
        <v>15918.89</v>
      </c>
      <c r="E11" s="342">
        <v>10193.09</v>
      </c>
      <c r="F11" s="342">
        <v>98280.78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1201926.6499999999</v>
      </c>
      <c r="E14" s="390"/>
      <c r="F14" s="417"/>
    </row>
    <row r="15" spans="1:7" x14ac:dyDescent="0.25">
      <c r="A15" s="336" t="s">
        <v>39</v>
      </c>
      <c r="B15" s="415">
        <f>SUM(D11:F11)</f>
        <v>124392.76</v>
      </c>
    </row>
    <row r="16" spans="1:7" x14ac:dyDescent="0.25">
      <c r="A16" s="336" t="s">
        <v>2</v>
      </c>
      <c r="B16" s="415">
        <f>SUM(D9:F9)</f>
        <v>4984.57</v>
      </c>
    </row>
    <row r="17" spans="1:6" x14ac:dyDescent="0.25">
      <c r="A17" s="336" t="s">
        <v>3</v>
      </c>
      <c r="B17" s="415">
        <f>SUM(D8:F8)</f>
        <v>5549.0499999999993</v>
      </c>
    </row>
    <row r="18" spans="1:6" ht="15.75" thickBot="1" x14ac:dyDescent="0.3">
      <c r="A18" s="361"/>
      <c r="B18" s="416">
        <f>SUM(B14:B17)</f>
        <v>1336853.03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2F99-4C2A-43AA-8785-660847D00065}">
  <dimension ref="A1:G23"/>
  <sheetViews>
    <sheetView zoomScale="130" zoomScaleNormal="130" workbookViewId="0">
      <selection activeCell="D23" sqref="D23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437</v>
      </c>
      <c r="B8" s="340" t="s">
        <v>38</v>
      </c>
      <c r="C8" s="340" t="s">
        <v>3</v>
      </c>
      <c r="D8" s="342">
        <v>0</v>
      </c>
      <c r="E8" s="342">
        <v>0</v>
      </c>
      <c r="F8" s="342">
        <v>5673.36</v>
      </c>
    </row>
    <row r="9" spans="1:7" x14ac:dyDescent="0.25">
      <c r="A9" s="340" t="s">
        <v>437</v>
      </c>
      <c r="B9" s="340" t="s">
        <v>38</v>
      </c>
      <c r="C9" s="340" t="s">
        <v>323</v>
      </c>
      <c r="D9" s="342">
        <v>14120.73</v>
      </c>
      <c r="E9" s="342">
        <v>56.32</v>
      </c>
      <c r="F9" s="342">
        <v>4053.41</v>
      </c>
    </row>
    <row r="10" spans="1:7" x14ac:dyDescent="0.25">
      <c r="A10" s="340" t="s">
        <v>437</v>
      </c>
      <c r="B10" s="340" t="s">
        <v>38</v>
      </c>
      <c r="C10" s="340" t="s">
        <v>41</v>
      </c>
      <c r="D10" s="342">
        <v>52171.27</v>
      </c>
      <c r="E10" s="342">
        <v>57959.85</v>
      </c>
      <c r="F10" s="342">
        <v>1090175.94</v>
      </c>
    </row>
    <row r="11" spans="1:7" x14ac:dyDescent="0.25">
      <c r="A11" s="340" t="s">
        <v>437</v>
      </c>
      <c r="B11" s="340" t="s">
        <v>39</v>
      </c>
      <c r="C11" s="340" t="s">
        <v>41</v>
      </c>
      <c r="D11" s="342">
        <v>12050.61</v>
      </c>
      <c r="E11" s="342">
        <v>16240.19</v>
      </c>
      <c r="F11" s="342">
        <v>96784.6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1200307.06</v>
      </c>
      <c r="E14" s="390"/>
      <c r="F14" s="417"/>
    </row>
    <row r="15" spans="1:7" x14ac:dyDescent="0.25">
      <c r="A15" s="336" t="s">
        <v>39</v>
      </c>
      <c r="B15" s="415">
        <f>SUM(D11:F11)</f>
        <v>125075.40000000001</v>
      </c>
    </row>
    <row r="16" spans="1:7" x14ac:dyDescent="0.25">
      <c r="A16" s="336" t="s">
        <v>2</v>
      </c>
      <c r="B16" s="415">
        <f>SUM(D9:F9)</f>
        <v>18230.46</v>
      </c>
    </row>
    <row r="17" spans="1:6" x14ac:dyDescent="0.25">
      <c r="A17" s="336" t="s">
        <v>3</v>
      </c>
      <c r="B17" s="415">
        <f>SUM(D8:F8)</f>
        <v>5673.36</v>
      </c>
    </row>
    <row r="18" spans="1:6" ht="15.75" thickBot="1" x14ac:dyDescent="0.3">
      <c r="A18" s="361"/>
      <c r="B18" s="416">
        <f>SUM(B14:B17)</f>
        <v>1349286.28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5D84B-8645-42ED-8E02-47888F579FFC}">
  <dimension ref="A1:G23"/>
  <sheetViews>
    <sheetView zoomScale="130" zoomScaleNormal="130" workbookViewId="0">
      <selection activeCell="D8" sqref="D8:D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437</v>
      </c>
      <c r="B8" s="340" t="s">
        <v>38</v>
      </c>
      <c r="C8" s="340" t="s">
        <v>3</v>
      </c>
      <c r="D8" s="342">
        <v>0</v>
      </c>
      <c r="E8" s="342">
        <v>367.73</v>
      </c>
      <c r="F8" s="342">
        <v>5755.63</v>
      </c>
    </row>
    <row r="9" spans="1:7" x14ac:dyDescent="0.25">
      <c r="A9" s="340" t="s">
        <v>437</v>
      </c>
      <c r="B9" s="340" t="s">
        <v>38</v>
      </c>
      <c r="C9" s="340" t="s">
        <v>323</v>
      </c>
      <c r="D9" s="342">
        <v>532.94000000000005</v>
      </c>
      <c r="E9" s="342">
        <v>0</v>
      </c>
      <c r="F9" s="342">
        <v>4053.41</v>
      </c>
    </row>
    <row r="10" spans="1:7" x14ac:dyDescent="0.25">
      <c r="A10" s="340" t="s">
        <v>437</v>
      </c>
      <c r="B10" s="340" t="s">
        <v>38</v>
      </c>
      <c r="C10" s="340" t="s">
        <v>41</v>
      </c>
      <c r="D10" s="342">
        <v>111614.48</v>
      </c>
      <c r="E10" s="342">
        <v>41618.959999999999</v>
      </c>
      <c r="F10" s="342">
        <v>1086802.32</v>
      </c>
    </row>
    <row r="11" spans="1:7" x14ac:dyDescent="0.25">
      <c r="A11" s="340" t="s">
        <v>437</v>
      </c>
      <c r="B11" s="340" t="s">
        <v>39</v>
      </c>
      <c r="C11" s="340" t="s">
        <v>41</v>
      </c>
      <c r="D11" s="342">
        <v>19243.61</v>
      </c>
      <c r="E11" s="342">
        <v>11214.75</v>
      </c>
      <c r="F11" s="342">
        <v>98315.9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1240035.76</v>
      </c>
      <c r="E14" s="390"/>
      <c r="F14" s="417"/>
    </row>
    <row r="15" spans="1:7" x14ac:dyDescent="0.25">
      <c r="A15" s="336" t="s">
        <v>39</v>
      </c>
      <c r="B15" s="415">
        <f>SUM(D11:F11)</f>
        <v>128774.26</v>
      </c>
    </row>
    <row r="16" spans="1:7" x14ac:dyDescent="0.25">
      <c r="A16" s="336" t="s">
        <v>2</v>
      </c>
      <c r="B16" s="415">
        <f>SUM(D9:F9)</f>
        <v>4586.3500000000004</v>
      </c>
    </row>
    <row r="17" spans="1:6" x14ac:dyDescent="0.25">
      <c r="A17" s="336" t="s">
        <v>3</v>
      </c>
      <c r="B17" s="415">
        <f>SUM(D8:F8)</f>
        <v>6123.3600000000006</v>
      </c>
    </row>
    <row r="18" spans="1:6" ht="15.75" thickBot="1" x14ac:dyDescent="0.3">
      <c r="A18" s="361"/>
      <c r="B18" s="416">
        <f>SUM(B14:B17)</f>
        <v>1379519.7300000002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35C2-5F28-4D29-ACC8-18A87300F0F5}">
  <dimension ref="A1:G23"/>
  <sheetViews>
    <sheetView zoomScale="130" zoomScaleNormal="130" workbookViewId="0">
      <selection activeCell="E19" sqref="E19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437</v>
      </c>
      <c r="B8" s="340" t="s">
        <v>38</v>
      </c>
      <c r="C8" s="340" t="s">
        <v>3</v>
      </c>
      <c r="D8" s="342">
        <v>367.73</v>
      </c>
      <c r="E8" s="342">
        <v>0</v>
      </c>
      <c r="F8" s="342">
        <v>6655.63</v>
      </c>
    </row>
    <row r="9" spans="1:7" x14ac:dyDescent="0.25">
      <c r="A9" s="340" t="s">
        <v>437</v>
      </c>
      <c r="B9" s="340" t="s">
        <v>38</v>
      </c>
      <c r="C9" s="340" t="s">
        <v>323</v>
      </c>
      <c r="D9" s="342">
        <v>1348.36</v>
      </c>
      <c r="E9" s="342">
        <v>2009.42</v>
      </c>
      <c r="F9" s="342">
        <v>2043.99</v>
      </c>
    </row>
    <row r="10" spans="1:7" x14ac:dyDescent="0.25">
      <c r="A10" s="340" t="s">
        <v>437</v>
      </c>
      <c r="B10" s="340" t="s">
        <v>38</v>
      </c>
      <c r="C10" s="340" t="s">
        <v>41</v>
      </c>
      <c r="D10" s="342">
        <v>57289.120000000003</v>
      </c>
      <c r="E10" s="342">
        <v>55221.21</v>
      </c>
      <c r="F10" s="342">
        <v>1075664.32</v>
      </c>
    </row>
    <row r="11" spans="1:7" x14ac:dyDescent="0.25">
      <c r="A11" s="340" t="s">
        <v>437</v>
      </c>
      <c r="B11" s="340" t="s">
        <v>39</v>
      </c>
      <c r="C11" s="340" t="s">
        <v>41</v>
      </c>
      <c r="D11" s="342">
        <v>13828.29</v>
      </c>
      <c r="E11" s="342">
        <v>12099.5</v>
      </c>
      <c r="F11" s="342">
        <v>101083.67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1188174.6500000001</v>
      </c>
      <c r="E14" s="390"/>
      <c r="F14" s="417"/>
    </row>
    <row r="15" spans="1:7" x14ac:dyDescent="0.25">
      <c r="A15" s="336" t="s">
        <v>39</v>
      </c>
      <c r="B15" s="415">
        <f>SUM(D11:F11)</f>
        <v>127011.45999999999</v>
      </c>
    </row>
    <row r="16" spans="1:7" x14ac:dyDescent="0.25">
      <c r="A16" s="336" t="s">
        <v>2</v>
      </c>
      <c r="B16" s="415">
        <f>SUM(D9:F9)</f>
        <v>5401.7699999999995</v>
      </c>
    </row>
    <row r="17" spans="1:6" x14ac:dyDescent="0.25">
      <c r="A17" s="336" t="s">
        <v>3</v>
      </c>
      <c r="B17" s="415">
        <f>SUM(D8:F8)</f>
        <v>7023.3600000000006</v>
      </c>
    </row>
    <row r="18" spans="1:6" ht="15.75" thickBot="1" x14ac:dyDescent="0.3">
      <c r="A18" s="361"/>
      <c r="B18" s="416">
        <f>SUM(B14:B17)</f>
        <v>1327611.2400000002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A76A-3A65-48D4-B7E9-D0A29143CF5D}">
  <dimension ref="A1:G23"/>
  <sheetViews>
    <sheetView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437</v>
      </c>
      <c r="B8" s="340" t="s">
        <v>38</v>
      </c>
      <c r="C8" s="340" t="s">
        <v>3</v>
      </c>
      <c r="D8" s="342">
        <v>0</v>
      </c>
      <c r="E8" s="342">
        <v>0</v>
      </c>
      <c r="F8" s="342">
        <v>6655.05</v>
      </c>
    </row>
    <row r="9" spans="1:7" x14ac:dyDescent="0.25">
      <c r="A9" s="340" t="s">
        <v>437</v>
      </c>
      <c r="B9" s="340" t="s">
        <v>38</v>
      </c>
      <c r="C9" s="340" t="s">
        <v>323</v>
      </c>
      <c r="D9" s="342">
        <v>3898.39</v>
      </c>
      <c r="E9" s="342">
        <v>927.54</v>
      </c>
      <c r="F9" s="342">
        <v>1529.58</v>
      </c>
    </row>
    <row r="10" spans="1:7" x14ac:dyDescent="0.25">
      <c r="A10" s="340" t="s">
        <v>437</v>
      </c>
      <c r="B10" s="340" t="s">
        <v>38</v>
      </c>
      <c r="C10" s="340" t="s">
        <v>41</v>
      </c>
      <c r="D10" s="342">
        <v>70933.23</v>
      </c>
      <c r="E10" s="342">
        <v>77325.22</v>
      </c>
      <c r="F10" s="342">
        <v>1035648.82</v>
      </c>
    </row>
    <row r="11" spans="1:7" x14ac:dyDescent="0.25">
      <c r="A11" s="340" t="s">
        <v>437</v>
      </c>
      <c r="B11" s="340" t="s">
        <v>39</v>
      </c>
      <c r="C11" s="340" t="s">
        <v>41</v>
      </c>
      <c r="D11" s="342">
        <v>14363.23</v>
      </c>
      <c r="E11" s="342">
        <v>19852.939999999999</v>
      </c>
      <c r="F11" s="342">
        <v>96332.53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1183907.27</v>
      </c>
      <c r="E14" s="390"/>
      <c r="F14" s="417"/>
    </row>
    <row r="15" spans="1:7" x14ac:dyDescent="0.25">
      <c r="A15" s="336" t="s">
        <v>39</v>
      </c>
      <c r="B15" s="415">
        <f>SUM(D11:F11)</f>
        <v>130548.7</v>
      </c>
    </row>
    <row r="16" spans="1:7" x14ac:dyDescent="0.25">
      <c r="A16" s="336" t="s">
        <v>2</v>
      </c>
      <c r="B16" s="415">
        <f>SUM(D9:F9)</f>
        <v>6355.51</v>
      </c>
    </row>
    <row r="17" spans="1:6" x14ac:dyDescent="0.25">
      <c r="A17" s="336" t="s">
        <v>3</v>
      </c>
      <c r="B17" s="415">
        <f>SUM(D8:F8)</f>
        <v>6655.05</v>
      </c>
    </row>
    <row r="18" spans="1:6" ht="15.75" thickBot="1" x14ac:dyDescent="0.3">
      <c r="A18" s="361"/>
      <c r="B18" s="416">
        <f>SUM(B14:B17)</f>
        <v>1327466.53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6AF61-6DA7-43CC-83BC-1E2559555D9D}">
  <dimension ref="A1:G23"/>
  <sheetViews>
    <sheetView zoomScale="130" zoomScaleNormal="130" workbookViewId="0">
      <selection activeCell="F8" sqref="F8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437</v>
      </c>
      <c r="B8" s="340" t="s">
        <v>38</v>
      </c>
      <c r="C8" s="340" t="s">
        <v>3</v>
      </c>
      <c r="D8" s="342">
        <v>0</v>
      </c>
      <c r="E8" s="342">
        <v>336.85</v>
      </c>
      <c r="F8" s="342">
        <v>6768.2</v>
      </c>
    </row>
    <row r="9" spans="1:7" x14ac:dyDescent="0.25">
      <c r="A9" s="340" t="s">
        <v>437</v>
      </c>
      <c r="B9" s="340" t="s">
        <v>38</v>
      </c>
      <c r="C9" s="340" t="s">
        <v>323</v>
      </c>
      <c r="D9" s="342">
        <v>1009.22</v>
      </c>
      <c r="E9" s="342">
        <v>805.71</v>
      </c>
      <c r="F9" s="342">
        <v>785.35</v>
      </c>
    </row>
    <row r="10" spans="1:7" x14ac:dyDescent="0.25">
      <c r="A10" s="340" t="s">
        <v>437</v>
      </c>
      <c r="B10" s="340" t="s">
        <v>38</v>
      </c>
      <c r="C10" s="340" t="s">
        <v>41</v>
      </c>
      <c r="D10" s="342">
        <v>99087.6</v>
      </c>
      <c r="E10" s="342">
        <v>43650.879999999997</v>
      </c>
      <c r="F10" s="342">
        <v>1028664.86</v>
      </c>
    </row>
    <row r="11" spans="1:7" x14ac:dyDescent="0.25">
      <c r="A11" s="340" t="s">
        <v>437</v>
      </c>
      <c r="B11" s="340" t="s">
        <v>39</v>
      </c>
      <c r="C11" s="340" t="s">
        <v>41</v>
      </c>
      <c r="D11" s="342">
        <v>23686.13</v>
      </c>
      <c r="E11" s="342">
        <v>8142.93</v>
      </c>
      <c r="F11" s="342">
        <v>100926.56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1171403.3400000001</v>
      </c>
      <c r="E14" s="390"/>
      <c r="F14" s="417"/>
    </row>
    <row r="15" spans="1:7" x14ac:dyDescent="0.25">
      <c r="A15" s="336" t="s">
        <v>39</v>
      </c>
      <c r="B15" s="415">
        <f>SUM(D11:F11)</f>
        <v>132755.62</v>
      </c>
    </row>
    <row r="16" spans="1:7" x14ac:dyDescent="0.25">
      <c r="A16" s="336" t="s">
        <v>2</v>
      </c>
      <c r="B16" s="415">
        <f>SUM(D9:F9)</f>
        <v>2600.2800000000002</v>
      </c>
    </row>
    <row r="17" spans="1:6" x14ac:dyDescent="0.25">
      <c r="A17" s="336" t="s">
        <v>3</v>
      </c>
      <c r="B17" s="415">
        <f>SUM(D8:F8)</f>
        <v>7105.05</v>
      </c>
    </row>
    <row r="18" spans="1:6" ht="15.75" thickBot="1" x14ac:dyDescent="0.3">
      <c r="A18" s="361"/>
      <c r="B18" s="416">
        <f>SUM(B14:B17)</f>
        <v>1313864.29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6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1" sqref="Q11"/>
    </sheetView>
  </sheetViews>
  <sheetFormatPr defaultColWidth="9.140625" defaultRowHeight="12.75" x14ac:dyDescent="0.2"/>
  <cols>
    <col min="1" max="1" width="7.140625" style="294" bestFit="1" customWidth="1"/>
    <col min="2" max="3" width="10.140625" style="294" bestFit="1" customWidth="1"/>
    <col min="4" max="4" width="11" style="294" bestFit="1" customWidth="1"/>
    <col min="5" max="5" width="9.5703125" style="294" bestFit="1" customWidth="1"/>
    <col min="6" max="6" width="7.140625" style="294" bestFit="1" customWidth="1"/>
    <col min="7" max="7" width="10.140625" style="294" bestFit="1" customWidth="1"/>
    <col min="8" max="8" width="9.5703125" style="294" bestFit="1" customWidth="1"/>
    <col min="9" max="9" width="9.140625" style="294" customWidth="1"/>
    <col min="10" max="10" width="9.140625" style="294"/>
    <col min="11" max="11" width="7.140625" style="294" bestFit="1" customWidth="1"/>
    <col min="12" max="13" width="11" style="294" bestFit="1" customWidth="1"/>
    <col min="14" max="14" width="9.140625" style="294"/>
    <col min="15" max="15" width="8.85546875"/>
    <col min="16" max="16" width="11" style="294" bestFit="1" customWidth="1"/>
    <col min="17" max="18" width="9.5703125" style="294" bestFit="1" customWidth="1"/>
    <col min="19" max="16384" width="9.140625" style="294"/>
  </cols>
  <sheetData>
    <row r="1" spans="1:18" ht="45" x14ac:dyDescent="0.25">
      <c r="A1" s="293" t="s">
        <v>325</v>
      </c>
      <c r="B1" s="292" t="s">
        <v>328</v>
      </c>
      <c r="C1" s="292" t="s">
        <v>330</v>
      </c>
      <c r="D1" s="292" t="s">
        <v>331</v>
      </c>
      <c r="E1" s="298"/>
      <c r="F1" s="299" t="s">
        <v>325</v>
      </c>
      <c r="G1" s="300" t="s">
        <v>328</v>
      </c>
      <c r="H1" s="300" t="s">
        <v>327</v>
      </c>
      <c r="I1" s="300" t="s">
        <v>326</v>
      </c>
      <c r="J1" s="298"/>
      <c r="K1" s="301" t="s">
        <v>325</v>
      </c>
      <c r="L1" s="302" t="s">
        <v>324</v>
      </c>
      <c r="M1" s="302" t="s">
        <v>329</v>
      </c>
      <c r="N1" s="302" t="s">
        <v>326</v>
      </c>
      <c r="P1" s="455" t="s">
        <v>410</v>
      </c>
      <c r="Q1" s="455" t="s">
        <v>411</v>
      </c>
    </row>
    <row r="2" spans="1:18" x14ac:dyDescent="0.2">
      <c r="A2" s="295">
        <v>40238</v>
      </c>
      <c r="B2" s="296">
        <f>SUM('Notes - Mar10'!D8:D10)</f>
        <v>67382</v>
      </c>
      <c r="C2" s="296">
        <f>SUM('Notes - Mar10'!E8:E10)</f>
        <v>113274</v>
      </c>
      <c r="D2" s="296">
        <f>SUM('Notes - Mar10'!F8:F10)</f>
        <v>648192</v>
      </c>
      <c r="E2" s="296"/>
      <c r="F2" s="295">
        <v>40238</v>
      </c>
      <c r="G2" s="296">
        <f>B2</f>
        <v>67382</v>
      </c>
      <c r="H2" s="296">
        <f>C3</f>
        <v>56147</v>
      </c>
      <c r="I2" s="297">
        <f>(G2-H2)/G2</f>
        <v>0.16673592354041139</v>
      </c>
      <c r="J2" s="296"/>
      <c r="K2" s="295">
        <v>40238</v>
      </c>
      <c r="L2" s="296">
        <f>SUM(C2:D2)</f>
        <v>761466</v>
      </c>
      <c r="M2" s="296">
        <f>D3</f>
        <v>689993</v>
      </c>
      <c r="N2" s="297">
        <f>(L2-M2)/L2</f>
        <v>9.3862365489726401E-2</v>
      </c>
    </row>
    <row r="3" spans="1:18" x14ac:dyDescent="0.2">
      <c r="A3" s="295">
        <f t="shared" ref="A3:A114" si="0">EOMONTH(A2,1)</f>
        <v>40298</v>
      </c>
      <c r="B3" s="296">
        <f>SUM('Notes - Apr10'!D8:D10)</f>
        <v>87446</v>
      </c>
      <c r="C3" s="296">
        <f>SUM('Notes - Apr10'!E8:E10)</f>
        <v>56147</v>
      </c>
      <c r="D3" s="296">
        <f>SUM('Notes - Apr10'!F8:F10)</f>
        <v>689993</v>
      </c>
      <c r="E3" s="296"/>
      <c r="F3" s="295">
        <f t="shared" ref="F3:F107" si="1">EOMONTH(F2,1)</f>
        <v>40298</v>
      </c>
      <c r="G3" s="296">
        <f t="shared" ref="G3:G27" si="2">B3</f>
        <v>87446</v>
      </c>
      <c r="H3" s="296">
        <f t="shared" ref="H3:H27" si="3">C4</f>
        <v>78302</v>
      </c>
      <c r="I3" s="297">
        <f t="shared" ref="I3:I35" si="4">(G3-H3)/G3</f>
        <v>0.10456739016078494</v>
      </c>
      <c r="J3" s="296"/>
      <c r="K3" s="295">
        <f t="shared" ref="K3:K84" si="5">EOMONTH(K2,1)</f>
        <v>40298</v>
      </c>
      <c r="L3" s="296">
        <f t="shared" ref="L3:L28" si="6">SUM(C3:D3)</f>
        <v>746140</v>
      </c>
      <c r="M3" s="296">
        <f t="shared" ref="M3:M28" si="7">D4</f>
        <v>670170</v>
      </c>
      <c r="N3" s="297">
        <f t="shared" ref="N3:N30" si="8">(L3-M3)/L3</f>
        <v>0.10181735331171093</v>
      </c>
      <c r="P3" s="436">
        <f t="shared" ref="P3:P34" si="9">SUM(B3:D3)-SUM(B2:D2)</f>
        <v>4738</v>
      </c>
      <c r="Q3" s="436"/>
    </row>
    <row r="4" spans="1:18" x14ac:dyDescent="0.2">
      <c r="A4" s="295">
        <f t="shared" si="0"/>
        <v>40329</v>
      </c>
      <c r="B4" s="296">
        <f>SUM('Notes - May10'!D8:D10)</f>
        <v>196350</v>
      </c>
      <c r="C4" s="296">
        <f>SUM('Notes - May10'!E8:E10)</f>
        <v>78302</v>
      </c>
      <c r="D4" s="296">
        <f>SUM('Notes - May10'!F8:F10)</f>
        <v>670170</v>
      </c>
      <c r="E4" s="296"/>
      <c r="F4" s="295">
        <f t="shared" si="1"/>
        <v>40329</v>
      </c>
      <c r="G4" s="296">
        <f t="shared" si="2"/>
        <v>196350</v>
      </c>
      <c r="H4" s="296">
        <f t="shared" si="3"/>
        <v>157567</v>
      </c>
      <c r="I4" s="297">
        <f t="shared" si="4"/>
        <v>0.197519735166794</v>
      </c>
      <c r="J4" s="296"/>
      <c r="K4" s="295">
        <f t="shared" si="5"/>
        <v>40329</v>
      </c>
      <c r="L4" s="296">
        <f t="shared" si="6"/>
        <v>748472</v>
      </c>
      <c r="M4" s="296">
        <f t="shared" si="7"/>
        <v>674173</v>
      </c>
      <c r="N4" s="297">
        <f t="shared" si="8"/>
        <v>9.9267574471723727E-2</v>
      </c>
      <c r="P4" s="437">
        <f t="shared" si="9"/>
        <v>111236</v>
      </c>
      <c r="Q4" s="437"/>
      <c r="R4" s="428"/>
    </row>
    <row r="5" spans="1:18" x14ac:dyDescent="0.2">
      <c r="A5" s="295">
        <f t="shared" si="0"/>
        <v>40359</v>
      </c>
      <c r="B5" s="296">
        <f>SUM('Notes - Jun10'!D8:D10)</f>
        <v>62757</v>
      </c>
      <c r="C5" s="296">
        <f>SUM('Notes - Jun10'!E8:E10)</f>
        <v>157567</v>
      </c>
      <c r="D5" s="296">
        <f>SUM('Notes - Jun10'!F8:F10)</f>
        <v>674173</v>
      </c>
      <c r="E5" s="296"/>
      <c r="F5" s="295">
        <f t="shared" si="1"/>
        <v>40359</v>
      </c>
      <c r="G5" s="296">
        <f t="shared" si="2"/>
        <v>62757</v>
      </c>
      <c r="H5" s="296">
        <f t="shared" si="3"/>
        <v>48852</v>
      </c>
      <c r="I5" s="297">
        <f t="shared" si="4"/>
        <v>0.22156890864764089</v>
      </c>
      <c r="J5" s="296"/>
      <c r="K5" s="295">
        <f t="shared" si="5"/>
        <v>40359</v>
      </c>
      <c r="L5" s="296">
        <f t="shared" si="6"/>
        <v>831740</v>
      </c>
      <c r="M5" s="296">
        <f t="shared" si="7"/>
        <v>726786</v>
      </c>
      <c r="N5" s="297">
        <f t="shared" si="8"/>
        <v>0.12618606776156011</v>
      </c>
      <c r="P5" s="435">
        <f t="shared" si="9"/>
        <v>-50325</v>
      </c>
      <c r="Q5" s="435"/>
      <c r="R5" s="428"/>
    </row>
    <row r="6" spans="1:18" x14ac:dyDescent="0.2">
      <c r="A6" s="295">
        <f t="shared" si="0"/>
        <v>40390</v>
      </c>
      <c r="B6" s="296">
        <f>SUM('Notes - Jul10'!D8:D10)</f>
        <v>88488</v>
      </c>
      <c r="C6" s="296">
        <f>SUM('Notes - Jul10'!E8:E10)</f>
        <v>48852</v>
      </c>
      <c r="D6" s="296">
        <f>SUM('Notes - Jul10'!F8:F10)</f>
        <v>726786</v>
      </c>
      <c r="E6" s="296"/>
      <c r="F6" s="295">
        <f t="shared" si="1"/>
        <v>40390</v>
      </c>
      <c r="G6" s="296">
        <f t="shared" si="2"/>
        <v>88488</v>
      </c>
      <c r="H6" s="296">
        <f t="shared" si="3"/>
        <v>60260</v>
      </c>
      <c r="I6" s="297">
        <f t="shared" si="4"/>
        <v>0.319003706717295</v>
      </c>
      <c r="J6" s="296"/>
      <c r="K6" s="295">
        <f t="shared" si="5"/>
        <v>40390</v>
      </c>
      <c r="L6" s="296">
        <f t="shared" si="6"/>
        <v>775638</v>
      </c>
      <c r="M6" s="296">
        <f t="shared" si="7"/>
        <v>676393</v>
      </c>
      <c r="N6" s="297">
        <f t="shared" si="8"/>
        <v>0.12795273052635378</v>
      </c>
      <c r="P6" s="436">
        <f t="shared" si="9"/>
        <v>-30371</v>
      </c>
      <c r="Q6" s="436"/>
      <c r="R6" s="428"/>
    </row>
    <row r="7" spans="1:18" x14ac:dyDescent="0.2">
      <c r="A7" s="295">
        <f t="shared" si="0"/>
        <v>40421</v>
      </c>
      <c r="B7" s="296">
        <f>SUM('Notes - Aug10'!D8:D10)</f>
        <v>178224</v>
      </c>
      <c r="C7" s="296">
        <f>SUM('Notes - Aug10'!E8:E10)</f>
        <v>60260</v>
      </c>
      <c r="D7" s="296">
        <f>SUM('Notes - Aug10'!F8:F10)</f>
        <v>676393</v>
      </c>
      <c r="E7" s="296"/>
      <c r="F7" s="295">
        <f t="shared" si="1"/>
        <v>40421</v>
      </c>
      <c r="G7" s="296">
        <f t="shared" si="2"/>
        <v>178224</v>
      </c>
      <c r="H7" s="296">
        <f t="shared" si="3"/>
        <v>118125</v>
      </c>
      <c r="I7" s="297">
        <f t="shared" si="4"/>
        <v>0.33721047670347426</v>
      </c>
      <c r="J7" s="296"/>
      <c r="K7" s="295">
        <f t="shared" si="5"/>
        <v>40421</v>
      </c>
      <c r="L7" s="296">
        <f t="shared" si="6"/>
        <v>736653</v>
      </c>
      <c r="M7" s="296">
        <f t="shared" si="7"/>
        <v>608177</v>
      </c>
      <c r="N7" s="297">
        <f t="shared" si="8"/>
        <v>0.174405045523469</v>
      </c>
      <c r="P7" s="437">
        <f t="shared" si="9"/>
        <v>50751</v>
      </c>
      <c r="Q7" s="437"/>
      <c r="R7" s="428"/>
    </row>
    <row r="8" spans="1:18" x14ac:dyDescent="0.2">
      <c r="A8" s="295">
        <f t="shared" si="0"/>
        <v>40451</v>
      </c>
      <c r="B8" s="296">
        <f>SUM('Notes - Sept10'!D9:D11)</f>
        <v>43089</v>
      </c>
      <c r="C8" s="296">
        <f>SUM('Notes - Sept10'!E9:E11)</f>
        <v>118125</v>
      </c>
      <c r="D8" s="296">
        <f>SUM('Notes - Sept10'!F9:F11)</f>
        <v>608177</v>
      </c>
      <c r="E8" s="296"/>
      <c r="F8" s="295">
        <f t="shared" si="1"/>
        <v>40451</v>
      </c>
      <c r="G8" s="296">
        <f t="shared" si="2"/>
        <v>43089</v>
      </c>
      <c r="H8" s="296">
        <f t="shared" si="3"/>
        <v>34393</v>
      </c>
      <c r="I8" s="297">
        <f t="shared" si="4"/>
        <v>0.20181484833716262</v>
      </c>
      <c r="J8" s="296"/>
      <c r="K8" s="295">
        <f t="shared" si="5"/>
        <v>40451</v>
      </c>
      <c r="L8" s="296">
        <f t="shared" si="6"/>
        <v>726302</v>
      </c>
      <c r="M8" s="296">
        <f t="shared" si="7"/>
        <v>655908</v>
      </c>
      <c r="N8" s="297">
        <f t="shared" si="8"/>
        <v>9.6921115458858717E-2</v>
      </c>
      <c r="P8" s="435">
        <f t="shared" si="9"/>
        <v>-145486</v>
      </c>
      <c r="Q8" s="435"/>
      <c r="R8" s="428"/>
    </row>
    <row r="9" spans="1:18" x14ac:dyDescent="0.2">
      <c r="A9" s="295">
        <f t="shared" si="0"/>
        <v>40482</v>
      </c>
      <c r="B9" s="296">
        <f>SUM('Notes - Oct 10'!D9:D11)</f>
        <v>86469</v>
      </c>
      <c r="C9" s="296">
        <f>SUM('Notes - Oct 10'!E9:E11)</f>
        <v>34393</v>
      </c>
      <c r="D9" s="296">
        <f>SUM('Notes - Oct 10'!F9:F11)</f>
        <v>655908</v>
      </c>
      <c r="E9" s="296"/>
      <c r="F9" s="295">
        <f t="shared" si="1"/>
        <v>40482</v>
      </c>
      <c r="G9" s="296">
        <f t="shared" si="2"/>
        <v>86469</v>
      </c>
      <c r="H9" s="296">
        <f t="shared" si="3"/>
        <v>72597</v>
      </c>
      <c r="I9" s="297">
        <f t="shared" si="4"/>
        <v>0.16042743642230164</v>
      </c>
      <c r="J9" s="296"/>
      <c r="K9" s="295">
        <f t="shared" si="5"/>
        <v>40482</v>
      </c>
      <c r="L9" s="296">
        <f t="shared" si="6"/>
        <v>690301</v>
      </c>
      <c r="M9" s="296">
        <f t="shared" si="7"/>
        <v>619125</v>
      </c>
      <c r="N9" s="297">
        <f t="shared" si="8"/>
        <v>0.10310864391041009</v>
      </c>
      <c r="P9" s="436">
        <f t="shared" si="9"/>
        <v>7379</v>
      </c>
      <c r="Q9" s="436"/>
      <c r="R9" s="428"/>
    </row>
    <row r="10" spans="1:18" x14ac:dyDescent="0.2">
      <c r="A10" s="295">
        <f t="shared" si="0"/>
        <v>40512</v>
      </c>
      <c r="B10" s="296">
        <f>SUM('Notes - Nov 10'!D9:D11)</f>
        <v>121668</v>
      </c>
      <c r="C10" s="296">
        <f>SUM('Notes - Nov 10'!E9:E11)</f>
        <v>72597</v>
      </c>
      <c r="D10" s="296">
        <f>SUM('Notes - Nov 10'!F9:F11)</f>
        <v>619125</v>
      </c>
      <c r="E10" s="296"/>
      <c r="F10" s="295">
        <f t="shared" si="1"/>
        <v>40512</v>
      </c>
      <c r="G10" s="296">
        <f t="shared" si="2"/>
        <v>121668</v>
      </c>
      <c r="H10" s="296">
        <f t="shared" si="3"/>
        <v>88424</v>
      </c>
      <c r="I10" s="297">
        <f t="shared" si="4"/>
        <v>0.27323536180425417</v>
      </c>
      <c r="J10" s="296"/>
      <c r="K10" s="295">
        <f t="shared" si="5"/>
        <v>40512</v>
      </c>
      <c r="L10" s="296">
        <f t="shared" si="6"/>
        <v>691722</v>
      </c>
      <c r="M10" s="296">
        <f t="shared" si="7"/>
        <v>635842</v>
      </c>
      <c r="N10" s="297">
        <f t="shared" si="8"/>
        <v>8.0783898733884418E-2</v>
      </c>
      <c r="P10" s="437">
        <f t="shared" si="9"/>
        <v>36620</v>
      </c>
      <c r="Q10" s="437"/>
      <c r="R10" s="428"/>
    </row>
    <row r="11" spans="1:18" x14ac:dyDescent="0.2">
      <c r="A11" s="295">
        <f t="shared" si="0"/>
        <v>40543</v>
      </c>
      <c r="B11" s="296">
        <f>SUM('Notes - Dec 10'!D9:D11)</f>
        <v>53469</v>
      </c>
      <c r="C11" s="296">
        <f>SUM('Notes - Dec 10'!E9:E11)</f>
        <v>88424</v>
      </c>
      <c r="D11" s="296">
        <f>SUM('Notes - Dec 10'!F9:F11)</f>
        <v>635842</v>
      </c>
      <c r="E11" s="296"/>
      <c r="F11" s="295">
        <f t="shared" si="1"/>
        <v>40543</v>
      </c>
      <c r="G11" s="296">
        <f t="shared" si="2"/>
        <v>53469</v>
      </c>
      <c r="H11" s="296">
        <f t="shared" si="3"/>
        <v>44296</v>
      </c>
      <c r="I11" s="297">
        <f t="shared" si="4"/>
        <v>0.1715573509884232</v>
      </c>
      <c r="J11" s="296"/>
      <c r="K11" s="295">
        <f t="shared" si="5"/>
        <v>40543</v>
      </c>
      <c r="L11" s="296">
        <f t="shared" si="6"/>
        <v>724266</v>
      </c>
      <c r="M11" s="296">
        <f t="shared" si="7"/>
        <v>656902</v>
      </c>
      <c r="N11" s="297">
        <f t="shared" si="8"/>
        <v>9.3010026702896445E-2</v>
      </c>
      <c r="P11" s="435">
        <f t="shared" si="9"/>
        <v>-35655</v>
      </c>
      <c r="Q11" s="435"/>
      <c r="R11" s="428"/>
    </row>
    <row r="12" spans="1:18" x14ac:dyDescent="0.2">
      <c r="A12" s="295">
        <f t="shared" si="0"/>
        <v>40574</v>
      </c>
      <c r="B12" s="296">
        <f>SUM('Notes - Jan 11'!D10:D12)</f>
        <v>110864</v>
      </c>
      <c r="C12" s="296">
        <f>SUM('Notes - Jan 11'!E10:E12)</f>
        <v>44296</v>
      </c>
      <c r="D12" s="296">
        <f>SUM('Notes - Jan 11'!F10:F12)</f>
        <v>656902</v>
      </c>
      <c r="E12" s="296"/>
      <c r="F12" s="295">
        <f t="shared" si="1"/>
        <v>40574</v>
      </c>
      <c r="G12" s="296">
        <f t="shared" si="2"/>
        <v>110864</v>
      </c>
      <c r="H12" s="296">
        <f t="shared" si="3"/>
        <v>88968</v>
      </c>
      <c r="I12" s="297">
        <f t="shared" si="4"/>
        <v>0.19750324722182133</v>
      </c>
      <c r="J12" s="296"/>
      <c r="K12" s="295">
        <f t="shared" si="5"/>
        <v>40574</v>
      </c>
      <c r="L12" s="296">
        <f t="shared" si="6"/>
        <v>701198</v>
      </c>
      <c r="M12" s="296">
        <f t="shared" si="7"/>
        <v>641637</v>
      </c>
      <c r="N12" s="297">
        <f t="shared" si="8"/>
        <v>8.4941771083203318E-2</v>
      </c>
      <c r="P12" s="436">
        <f t="shared" si="9"/>
        <v>34327</v>
      </c>
      <c r="Q12" s="436"/>
      <c r="R12" s="428"/>
    </row>
    <row r="13" spans="1:18" x14ac:dyDescent="0.2">
      <c r="A13" s="295">
        <f t="shared" si="0"/>
        <v>40602</v>
      </c>
      <c r="B13" s="296">
        <f>SUM('Notes - Feb 11'!D9:D11)</f>
        <v>132254</v>
      </c>
      <c r="C13" s="296">
        <f>SUM('Notes - Feb 11'!E9:E11)</f>
        <v>88968</v>
      </c>
      <c r="D13" s="296">
        <f>SUM('Notes - Feb 11'!F9:F11)</f>
        <v>641637</v>
      </c>
      <c r="E13" s="296"/>
      <c r="F13" s="295">
        <f t="shared" si="1"/>
        <v>40602</v>
      </c>
      <c r="G13" s="296">
        <f t="shared" si="2"/>
        <v>132254</v>
      </c>
      <c r="H13" s="296">
        <f t="shared" si="3"/>
        <v>94566</v>
      </c>
      <c r="I13" s="297">
        <f t="shared" si="4"/>
        <v>0.28496680629697402</v>
      </c>
      <c r="J13" s="296"/>
      <c r="K13" s="295">
        <f t="shared" si="5"/>
        <v>40602</v>
      </c>
      <c r="L13" s="296">
        <f t="shared" si="6"/>
        <v>730605</v>
      </c>
      <c r="M13" s="296">
        <f t="shared" si="7"/>
        <v>646605</v>
      </c>
      <c r="N13" s="297">
        <f t="shared" si="8"/>
        <v>0.11497320713655121</v>
      </c>
      <c r="P13" s="437">
        <f t="shared" si="9"/>
        <v>50797</v>
      </c>
      <c r="Q13" s="437"/>
      <c r="R13" s="428"/>
    </row>
    <row r="14" spans="1:18" x14ac:dyDescent="0.2">
      <c r="A14" s="295">
        <f t="shared" si="0"/>
        <v>40633</v>
      </c>
      <c r="B14" s="296">
        <f>SUM('Notes - Mar 11'!D9:D11)</f>
        <v>59874</v>
      </c>
      <c r="C14" s="296">
        <f>SUM('Notes - Mar 11'!E9:E11)</f>
        <v>94566</v>
      </c>
      <c r="D14" s="296">
        <f>SUM('Notes - Mar 11'!F9:F11)</f>
        <v>646605</v>
      </c>
      <c r="E14" s="296"/>
      <c r="F14" s="295">
        <f t="shared" si="1"/>
        <v>40633</v>
      </c>
      <c r="G14" s="296">
        <f t="shared" si="2"/>
        <v>59874</v>
      </c>
      <c r="H14" s="296">
        <f t="shared" si="3"/>
        <v>44034</v>
      </c>
      <c r="I14" s="297">
        <f t="shared" si="4"/>
        <v>0.26455556669004909</v>
      </c>
      <c r="J14" s="296"/>
      <c r="K14" s="295">
        <f t="shared" si="5"/>
        <v>40633</v>
      </c>
      <c r="L14" s="296">
        <f t="shared" si="6"/>
        <v>741171</v>
      </c>
      <c r="M14" s="296">
        <f t="shared" si="7"/>
        <v>669335</v>
      </c>
      <c r="N14" s="297">
        <f t="shared" si="8"/>
        <v>9.6922302680488043E-2</v>
      </c>
      <c r="P14" s="435">
        <f t="shared" si="9"/>
        <v>-61814</v>
      </c>
      <c r="Q14" s="435"/>
      <c r="R14" s="428"/>
    </row>
    <row r="15" spans="1:18" x14ac:dyDescent="0.2">
      <c r="A15" s="295">
        <f t="shared" si="0"/>
        <v>40663</v>
      </c>
      <c r="B15" s="296">
        <f>SUM('Notes - Apr 11'!D9:D11)</f>
        <v>80371</v>
      </c>
      <c r="C15" s="296">
        <f>SUM('Notes - Apr 11'!E9:E11)</f>
        <v>44034</v>
      </c>
      <c r="D15" s="296">
        <f>SUM('Notes - Apr 11'!F9:F11)</f>
        <v>669335</v>
      </c>
      <c r="E15" s="296"/>
      <c r="F15" s="295">
        <f t="shared" si="1"/>
        <v>40663</v>
      </c>
      <c r="G15" s="296">
        <f t="shared" si="2"/>
        <v>80371</v>
      </c>
      <c r="H15" s="296">
        <f t="shared" si="3"/>
        <v>64036</v>
      </c>
      <c r="I15" s="297">
        <f t="shared" si="4"/>
        <v>0.20324495153724603</v>
      </c>
      <c r="J15" s="296"/>
      <c r="K15" s="295">
        <f t="shared" si="5"/>
        <v>40663</v>
      </c>
      <c r="L15" s="296">
        <f t="shared" si="6"/>
        <v>713369</v>
      </c>
      <c r="M15" s="296">
        <f t="shared" si="7"/>
        <v>653068</v>
      </c>
      <c r="N15" s="297">
        <f t="shared" si="8"/>
        <v>8.4529885655249951E-2</v>
      </c>
      <c r="P15" s="436">
        <f t="shared" si="9"/>
        <v>-7305</v>
      </c>
      <c r="Q15" s="436"/>
      <c r="R15" s="428"/>
    </row>
    <row r="16" spans="1:18" x14ac:dyDescent="0.2">
      <c r="A16" s="295">
        <f t="shared" si="0"/>
        <v>40694</v>
      </c>
      <c r="B16" s="296">
        <f>SUM('Notes - May 11'!D9:D11)</f>
        <v>207617</v>
      </c>
      <c r="C16" s="296">
        <f>SUM('Notes - May 11'!E9:E11)</f>
        <v>64036</v>
      </c>
      <c r="D16" s="296">
        <f>SUM('Notes - May 11'!F9:F11)</f>
        <v>653068</v>
      </c>
      <c r="E16" s="296"/>
      <c r="F16" s="295">
        <f t="shared" si="1"/>
        <v>40694</v>
      </c>
      <c r="G16" s="296">
        <f t="shared" si="2"/>
        <v>207617</v>
      </c>
      <c r="H16" s="296">
        <f t="shared" si="3"/>
        <v>172263</v>
      </c>
      <c r="I16" s="297">
        <f t="shared" si="4"/>
        <v>0.17028470693632988</v>
      </c>
      <c r="J16" s="296"/>
      <c r="K16" s="295">
        <f t="shared" si="5"/>
        <v>40694</v>
      </c>
      <c r="L16" s="296">
        <f t="shared" si="6"/>
        <v>717104</v>
      </c>
      <c r="M16" s="296">
        <f t="shared" si="7"/>
        <v>665844</v>
      </c>
      <c r="N16" s="297">
        <f t="shared" si="8"/>
        <v>7.148196077556393E-2</v>
      </c>
      <c r="P16" s="437">
        <f t="shared" si="9"/>
        <v>130981</v>
      </c>
      <c r="Q16" s="437"/>
      <c r="R16" s="428"/>
    </row>
    <row r="17" spans="1:18" x14ac:dyDescent="0.2">
      <c r="A17" s="295">
        <f t="shared" si="0"/>
        <v>40724</v>
      </c>
      <c r="B17" s="296">
        <f>SUM('Notes - Jun 11'!D9:D11)</f>
        <v>74018</v>
      </c>
      <c r="C17" s="296">
        <f>SUM('Notes - Jun 11'!E9:E11)</f>
        <v>172263</v>
      </c>
      <c r="D17" s="296">
        <f>SUM('Notes - Jun 11'!F9:F11)</f>
        <v>665844</v>
      </c>
      <c r="E17" s="296"/>
      <c r="F17" s="295">
        <f t="shared" si="1"/>
        <v>40724</v>
      </c>
      <c r="G17" s="296">
        <f t="shared" si="2"/>
        <v>74018</v>
      </c>
      <c r="H17" s="296">
        <f t="shared" si="3"/>
        <v>67389</v>
      </c>
      <c r="I17" s="297">
        <f t="shared" si="4"/>
        <v>8.9559296387365234E-2</v>
      </c>
      <c r="J17" s="296"/>
      <c r="K17" s="295">
        <f t="shared" si="5"/>
        <v>40724</v>
      </c>
      <c r="L17" s="296">
        <f t="shared" si="6"/>
        <v>838107</v>
      </c>
      <c r="M17" s="296">
        <f t="shared" si="7"/>
        <v>728659</v>
      </c>
      <c r="N17" s="297">
        <f t="shared" si="8"/>
        <v>0.13058953093101477</v>
      </c>
      <c r="P17" s="435">
        <f t="shared" si="9"/>
        <v>-12596</v>
      </c>
      <c r="Q17" s="435"/>
      <c r="R17" s="428"/>
    </row>
    <row r="18" spans="1:18" x14ac:dyDescent="0.2">
      <c r="A18" s="295">
        <f t="shared" si="0"/>
        <v>40755</v>
      </c>
      <c r="B18" s="296">
        <f>SUM('Notes - Jul 11'!D9:D11)</f>
        <v>52405</v>
      </c>
      <c r="C18" s="296">
        <f>SUM('Notes - Jul 11'!E9:E11)</f>
        <v>67389</v>
      </c>
      <c r="D18" s="296">
        <f>SUM('Notes - Jul 11'!F9:F11)</f>
        <v>728659</v>
      </c>
      <c r="E18" s="427"/>
      <c r="F18" s="295">
        <f t="shared" si="1"/>
        <v>40755</v>
      </c>
      <c r="G18" s="296">
        <f t="shared" si="2"/>
        <v>52405</v>
      </c>
      <c r="H18" s="296">
        <f t="shared" si="3"/>
        <v>39263</v>
      </c>
      <c r="I18" s="297">
        <f t="shared" si="4"/>
        <v>0.25077759755748497</v>
      </c>
      <c r="J18" s="296"/>
      <c r="K18" s="295">
        <f t="shared" si="5"/>
        <v>40755</v>
      </c>
      <c r="L18" s="296">
        <f t="shared" si="6"/>
        <v>796048</v>
      </c>
      <c r="M18" s="296">
        <f t="shared" si="7"/>
        <v>683808</v>
      </c>
      <c r="N18" s="297">
        <f t="shared" si="8"/>
        <v>0.14099652282274436</v>
      </c>
      <c r="P18" s="436">
        <f t="shared" si="9"/>
        <v>-63672</v>
      </c>
      <c r="Q18" s="436"/>
      <c r="R18" s="428"/>
    </row>
    <row r="19" spans="1:18" x14ac:dyDescent="0.2">
      <c r="A19" s="295">
        <f t="shared" si="0"/>
        <v>40786</v>
      </c>
      <c r="B19" s="296">
        <f>SUM('Notes - Aug 11'!D9:D11)</f>
        <v>179654</v>
      </c>
      <c r="C19" s="296">
        <f>SUM('Notes - Aug 11'!E9:E11)</f>
        <v>39263</v>
      </c>
      <c r="D19" s="296">
        <f>SUM('Notes - Aug 11'!F9:F11)</f>
        <v>683808</v>
      </c>
      <c r="E19" s="427"/>
      <c r="F19" s="295">
        <f t="shared" si="1"/>
        <v>40786</v>
      </c>
      <c r="G19" s="296">
        <f t="shared" si="2"/>
        <v>179654</v>
      </c>
      <c r="H19" s="296">
        <f t="shared" si="3"/>
        <v>147607</v>
      </c>
      <c r="I19" s="297">
        <f t="shared" si="4"/>
        <v>0.17838177830719049</v>
      </c>
      <c r="J19" s="296"/>
      <c r="K19" s="295">
        <f t="shared" si="5"/>
        <v>40786</v>
      </c>
      <c r="L19" s="296">
        <f t="shared" si="6"/>
        <v>723071</v>
      </c>
      <c r="M19" s="296">
        <f t="shared" si="7"/>
        <v>656392</v>
      </c>
      <c r="N19" s="297">
        <f t="shared" si="8"/>
        <v>9.2216393687480205E-2</v>
      </c>
      <c r="P19" s="437">
        <f t="shared" si="9"/>
        <v>54272</v>
      </c>
      <c r="Q19" s="437"/>
      <c r="R19" s="428"/>
    </row>
    <row r="20" spans="1:18" x14ac:dyDescent="0.2">
      <c r="A20" s="295">
        <f t="shared" si="0"/>
        <v>40816</v>
      </c>
      <c r="B20" s="296">
        <f>SUM('Notes - Sep11'!D9:D11)</f>
        <v>92972</v>
      </c>
      <c r="C20" s="296">
        <f>SUM('Notes - Sep11'!E9:E11)</f>
        <v>147607</v>
      </c>
      <c r="D20" s="296">
        <f>SUM('Notes - Sep11'!F9:F11)</f>
        <v>656392</v>
      </c>
      <c r="E20" s="427"/>
      <c r="F20" s="295">
        <f t="shared" si="1"/>
        <v>40816</v>
      </c>
      <c r="G20" s="296">
        <f t="shared" si="2"/>
        <v>92972</v>
      </c>
      <c r="H20" s="296">
        <f t="shared" si="3"/>
        <v>74822</v>
      </c>
      <c r="I20" s="297">
        <f t="shared" si="4"/>
        <v>0.19522006625650734</v>
      </c>
      <c r="J20" s="296"/>
      <c r="K20" s="295">
        <f t="shared" si="5"/>
        <v>40816</v>
      </c>
      <c r="L20" s="296">
        <f t="shared" si="6"/>
        <v>803999</v>
      </c>
      <c r="M20" s="296">
        <f t="shared" si="7"/>
        <v>718779</v>
      </c>
      <c r="N20" s="297">
        <f t="shared" si="8"/>
        <v>0.10599515671039392</v>
      </c>
      <c r="P20" s="435">
        <f t="shared" si="9"/>
        <v>-5754</v>
      </c>
      <c r="Q20" s="435"/>
      <c r="R20" s="428"/>
    </row>
    <row r="21" spans="1:18" x14ac:dyDescent="0.2">
      <c r="A21" s="295">
        <f t="shared" si="0"/>
        <v>40847</v>
      </c>
      <c r="B21" s="296">
        <f>SUM('Notes - Oct11'!D9:D11)</f>
        <v>39885</v>
      </c>
      <c r="C21" s="296">
        <f>SUM('Notes - Oct11'!E9:E11)</f>
        <v>74822</v>
      </c>
      <c r="D21" s="296">
        <f>SUM('Notes - Oct11'!F9:F11)</f>
        <v>718779</v>
      </c>
      <c r="E21" s="428"/>
      <c r="F21" s="295">
        <f t="shared" si="1"/>
        <v>40847</v>
      </c>
      <c r="G21" s="296">
        <f t="shared" si="2"/>
        <v>39885</v>
      </c>
      <c r="H21" s="296">
        <f t="shared" si="3"/>
        <v>30560</v>
      </c>
      <c r="I21" s="297">
        <f t="shared" si="4"/>
        <v>0.23379716685470728</v>
      </c>
      <c r="J21" s="296"/>
      <c r="K21" s="295">
        <f t="shared" si="5"/>
        <v>40847</v>
      </c>
      <c r="L21" s="296">
        <f t="shared" si="6"/>
        <v>793601</v>
      </c>
      <c r="M21" s="296">
        <f t="shared" si="7"/>
        <v>712965</v>
      </c>
      <c r="N21" s="297">
        <f t="shared" si="8"/>
        <v>0.1016077348692857</v>
      </c>
      <c r="P21" s="436">
        <f t="shared" si="9"/>
        <v>-63485</v>
      </c>
      <c r="Q21" s="436"/>
      <c r="R21" s="428"/>
    </row>
    <row r="22" spans="1:18" x14ac:dyDescent="0.2">
      <c r="A22" s="295">
        <f t="shared" si="0"/>
        <v>40877</v>
      </c>
      <c r="B22" s="296">
        <f>SUM('Notes - Nov11'!D9:D11)</f>
        <v>148839</v>
      </c>
      <c r="C22" s="296">
        <f>SUM('Notes - Nov11'!E9:E11)</f>
        <v>30560</v>
      </c>
      <c r="D22" s="296">
        <f>SUM('Notes - Nov11'!F9:F11)</f>
        <v>712965</v>
      </c>
      <c r="E22" s="427"/>
      <c r="F22" s="295">
        <f t="shared" si="1"/>
        <v>40877</v>
      </c>
      <c r="G22" s="296">
        <f t="shared" si="2"/>
        <v>148839</v>
      </c>
      <c r="H22" s="296">
        <f t="shared" si="3"/>
        <v>117090</v>
      </c>
      <c r="I22" s="297">
        <f t="shared" si="4"/>
        <v>0.21331102735170218</v>
      </c>
      <c r="J22" s="296"/>
      <c r="K22" s="295">
        <f t="shared" si="5"/>
        <v>40877</v>
      </c>
      <c r="L22" s="296">
        <f t="shared" si="6"/>
        <v>743525</v>
      </c>
      <c r="M22" s="296">
        <f t="shared" si="7"/>
        <v>641423</v>
      </c>
      <c r="N22" s="297">
        <f t="shared" si="8"/>
        <v>0.13732154265155846</v>
      </c>
      <c r="P22" s="437">
        <f t="shared" si="9"/>
        <v>58878</v>
      </c>
      <c r="Q22" s="437"/>
      <c r="R22" s="428"/>
    </row>
    <row r="23" spans="1:18" x14ac:dyDescent="0.2">
      <c r="A23" s="295">
        <f t="shared" si="0"/>
        <v>40908</v>
      </c>
      <c r="B23" s="296">
        <f>SUM('Notes - Dec11'!D9:D11)</f>
        <v>127126</v>
      </c>
      <c r="C23" s="296">
        <f>SUM('Notes - Dec11'!E9:E11)</f>
        <v>117090</v>
      </c>
      <c r="D23" s="296">
        <f>SUM('Notes - Dec11'!F9:F11)</f>
        <v>641423</v>
      </c>
      <c r="E23" s="427"/>
      <c r="F23" s="295">
        <f t="shared" si="1"/>
        <v>40908</v>
      </c>
      <c r="G23" s="296">
        <f t="shared" si="2"/>
        <v>127126</v>
      </c>
      <c r="H23" s="296">
        <f t="shared" si="3"/>
        <v>104935</v>
      </c>
      <c r="I23" s="297">
        <f t="shared" si="4"/>
        <v>0.17455909884681339</v>
      </c>
      <c r="J23" s="296"/>
      <c r="K23" s="295">
        <f t="shared" si="5"/>
        <v>40908</v>
      </c>
      <c r="L23" s="296">
        <f t="shared" si="6"/>
        <v>758513</v>
      </c>
      <c r="M23" s="296">
        <f t="shared" si="7"/>
        <v>705425</v>
      </c>
      <c r="N23" s="297">
        <f t="shared" si="8"/>
        <v>6.998957170147381E-2</v>
      </c>
      <c r="P23" s="435">
        <f t="shared" si="9"/>
        <v>-6725</v>
      </c>
      <c r="Q23" s="435"/>
      <c r="R23" s="428"/>
    </row>
    <row r="24" spans="1:18" x14ac:dyDescent="0.2">
      <c r="A24" s="295">
        <f t="shared" si="0"/>
        <v>40939</v>
      </c>
      <c r="B24" s="296">
        <f>SUM('Notes - Jan12'!D9:D11)</f>
        <v>85808</v>
      </c>
      <c r="C24" s="296">
        <f>SUM('Notes - Jan12'!E9:E11)</f>
        <v>104935</v>
      </c>
      <c r="D24" s="296">
        <f>SUM('Notes - Jan12'!F9:F11)</f>
        <v>705425</v>
      </c>
      <c r="E24" s="428"/>
      <c r="F24" s="295">
        <f t="shared" si="1"/>
        <v>40939</v>
      </c>
      <c r="G24" s="296">
        <f t="shared" si="2"/>
        <v>85808</v>
      </c>
      <c r="H24" s="296">
        <f t="shared" si="3"/>
        <v>40170</v>
      </c>
      <c r="I24" s="297">
        <f t="shared" si="4"/>
        <v>0.53186183106470264</v>
      </c>
      <c r="J24" s="296"/>
      <c r="K24" s="295">
        <f t="shared" si="5"/>
        <v>40939</v>
      </c>
      <c r="L24" s="296">
        <f t="shared" si="6"/>
        <v>810360</v>
      </c>
      <c r="M24" s="296">
        <f t="shared" si="7"/>
        <v>718959</v>
      </c>
      <c r="N24" s="297">
        <f t="shared" si="8"/>
        <v>0.1127906115800385</v>
      </c>
      <c r="P24" s="436">
        <f t="shared" si="9"/>
        <v>10529</v>
      </c>
      <c r="Q24" s="436"/>
      <c r="R24" s="428"/>
    </row>
    <row r="25" spans="1:18" x14ac:dyDescent="0.2">
      <c r="A25" s="295">
        <f t="shared" si="0"/>
        <v>40968</v>
      </c>
      <c r="B25" s="296">
        <f>SUM('Notes - Feb12'!D9:D11)</f>
        <v>207715</v>
      </c>
      <c r="C25" s="296">
        <f>SUM('Notes - Feb12'!E9:E11)</f>
        <v>40170</v>
      </c>
      <c r="D25" s="296">
        <f>SUM('Notes - Feb12'!F9:F11)</f>
        <v>718959</v>
      </c>
      <c r="E25" s="427"/>
      <c r="F25" s="295">
        <f t="shared" si="1"/>
        <v>40968</v>
      </c>
      <c r="G25" s="296">
        <f t="shared" si="2"/>
        <v>207715</v>
      </c>
      <c r="H25" s="296">
        <f t="shared" si="3"/>
        <v>157257</v>
      </c>
      <c r="I25" s="297">
        <f t="shared" si="4"/>
        <v>0.24291938473389019</v>
      </c>
      <c r="J25" s="296"/>
      <c r="K25" s="295">
        <f t="shared" si="5"/>
        <v>40968</v>
      </c>
      <c r="L25" s="296">
        <f t="shared" si="6"/>
        <v>759129</v>
      </c>
      <c r="M25" s="296">
        <f t="shared" si="7"/>
        <v>703041</v>
      </c>
      <c r="N25" s="297">
        <f t="shared" si="8"/>
        <v>7.3884675727050347E-2</v>
      </c>
      <c r="P25" s="437">
        <f t="shared" si="9"/>
        <v>70676</v>
      </c>
      <c r="Q25" s="437"/>
      <c r="R25" s="428"/>
    </row>
    <row r="26" spans="1:18" x14ac:dyDescent="0.2">
      <c r="A26" s="295">
        <f t="shared" si="0"/>
        <v>40999</v>
      </c>
      <c r="B26" s="296">
        <f>SUM('Notes - Mar12'!D9:D11)</f>
        <v>111412</v>
      </c>
      <c r="C26" s="296">
        <f>SUM('Notes - Mar12'!E9:E11)</f>
        <v>157257</v>
      </c>
      <c r="D26" s="296">
        <f>SUM('Notes - Mar12'!F9:F11)</f>
        <v>703041</v>
      </c>
      <c r="E26" s="427"/>
      <c r="F26" s="295">
        <f t="shared" si="1"/>
        <v>40999</v>
      </c>
      <c r="G26" s="296">
        <f t="shared" si="2"/>
        <v>111412</v>
      </c>
      <c r="H26" s="296">
        <f t="shared" si="3"/>
        <v>76513</v>
      </c>
      <c r="I26" s="297">
        <f t="shared" si="4"/>
        <v>0.31324273866369873</v>
      </c>
      <c r="J26" s="296"/>
      <c r="K26" s="295">
        <f t="shared" si="5"/>
        <v>40999</v>
      </c>
      <c r="L26" s="296">
        <f t="shared" si="6"/>
        <v>860298</v>
      </c>
      <c r="M26" s="296">
        <f t="shared" si="7"/>
        <v>673657</v>
      </c>
      <c r="N26" s="297">
        <f t="shared" si="8"/>
        <v>0.2169492431692274</v>
      </c>
      <c r="P26" s="435">
        <f t="shared" si="9"/>
        <v>4866</v>
      </c>
      <c r="Q26" s="435"/>
      <c r="R26" s="428"/>
    </row>
    <row r="27" spans="1:18" x14ac:dyDescent="0.2">
      <c r="A27" s="295">
        <f t="shared" si="0"/>
        <v>41029</v>
      </c>
      <c r="B27" s="296">
        <f>SUM('Notes - Apr12'!D9:D11)</f>
        <v>60332</v>
      </c>
      <c r="C27" s="296">
        <f>SUM('Notes - Apr12'!E9:E11)</f>
        <v>76513</v>
      </c>
      <c r="D27" s="296">
        <f>SUM('Notes - Apr12'!F9:F11)</f>
        <v>673657</v>
      </c>
      <c r="E27" s="428"/>
      <c r="F27" s="295">
        <f t="shared" si="1"/>
        <v>41029</v>
      </c>
      <c r="G27" s="296">
        <f t="shared" si="2"/>
        <v>60332</v>
      </c>
      <c r="H27" s="296">
        <f t="shared" si="3"/>
        <v>68188</v>
      </c>
      <c r="I27" s="303">
        <f t="shared" si="4"/>
        <v>-0.13021282238281509</v>
      </c>
      <c r="J27" s="296"/>
      <c r="K27" s="295">
        <f t="shared" si="5"/>
        <v>41029</v>
      </c>
      <c r="L27" s="296">
        <f t="shared" si="6"/>
        <v>750170</v>
      </c>
      <c r="M27" s="296">
        <f t="shared" si="7"/>
        <v>655894</v>
      </c>
      <c r="N27" s="297">
        <f t="shared" si="8"/>
        <v>0.12567284748790275</v>
      </c>
      <c r="P27" s="436">
        <f t="shared" si="9"/>
        <v>-161208</v>
      </c>
      <c r="Q27" s="436"/>
      <c r="R27" s="428"/>
    </row>
    <row r="28" spans="1:18" x14ac:dyDescent="0.2">
      <c r="A28" s="295">
        <f t="shared" si="0"/>
        <v>41060</v>
      </c>
      <c r="B28" s="296">
        <f>SUM('Notes - May12'!D9:D12)</f>
        <v>186153</v>
      </c>
      <c r="C28" s="296">
        <f>SUM('Notes - May12'!E9:E12)</f>
        <v>68188</v>
      </c>
      <c r="D28" s="296">
        <f>SUM('Notes - May12'!F9:F12)</f>
        <v>655894</v>
      </c>
      <c r="E28" s="427"/>
      <c r="F28" s="295">
        <f t="shared" si="1"/>
        <v>41060</v>
      </c>
      <c r="G28" s="296">
        <f t="shared" ref="G28:G33" si="10">B28</f>
        <v>186153</v>
      </c>
      <c r="H28" s="296">
        <f t="shared" ref="H28:H33" si="11">C29</f>
        <v>138294.25</v>
      </c>
      <c r="I28" s="327">
        <f t="shared" si="4"/>
        <v>0.25709362728508273</v>
      </c>
      <c r="J28" s="296"/>
      <c r="K28" s="295">
        <f t="shared" si="5"/>
        <v>41060</v>
      </c>
      <c r="L28" s="296">
        <f t="shared" si="6"/>
        <v>724082</v>
      </c>
      <c r="M28" s="296">
        <f t="shared" si="7"/>
        <v>643117.41999999993</v>
      </c>
      <c r="N28" s="297">
        <f t="shared" si="8"/>
        <v>0.11181686604555847</v>
      </c>
      <c r="P28" s="437">
        <f t="shared" si="9"/>
        <v>99733</v>
      </c>
      <c r="Q28" s="437"/>
      <c r="R28" s="428"/>
    </row>
    <row r="29" spans="1:18" x14ac:dyDescent="0.2">
      <c r="A29" s="295">
        <f t="shared" si="0"/>
        <v>41090</v>
      </c>
      <c r="B29" s="296">
        <f>SUM('Notes - Jun12'!D9:D12)</f>
        <v>186642.89</v>
      </c>
      <c r="C29" s="296">
        <f>SUM('Notes - Jun12'!E9:E12)</f>
        <v>138294.25</v>
      </c>
      <c r="D29" s="296">
        <f>SUM('Notes - Jun12'!F9:F12)</f>
        <v>643117.41999999993</v>
      </c>
      <c r="E29" s="427"/>
      <c r="F29" s="295">
        <f t="shared" si="1"/>
        <v>41090</v>
      </c>
      <c r="G29" s="296">
        <f t="shared" si="10"/>
        <v>186642.89</v>
      </c>
      <c r="H29" s="296">
        <f t="shared" si="11"/>
        <v>133075.6</v>
      </c>
      <c r="I29" s="327">
        <f t="shared" si="4"/>
        <v>0.28700418215770235</v>
      </c>
      <c r="J29" s="296"/>
      <c r="K29" s="295">
        <f t="shared" si="5"/>
        <v>41090</v>
      </c>
      <c r="L29" s="296">
        <f t="shared" ref="L29:L34" si="12">SUM(C29:D29)</f>
        <v>781411.66999999993</v>
      </c>
      <c r="M29" s="296">
        <f t="shared" ref="M29:M34" si="13">D30</f>
        <v>677319.67</v>
      </c>
      <c r="N29" s="297">
        <f t="shared" si="8"/>
        <v>0.1332101938021989</v>
      </c>
      <c r="P29" s="435">
        <f t="shared" si="9"/>
        <v>57819.559999999939</v>
      </c>
      <c r="Q29" s="435"/>
      <c r="R29" s="428"/>
    </row>
    <row r="30" spans="1:18" x14ac:dyDescent="0.2">
      <c r="A30" s="295">
        <f t="shared" si="0"/>
        <v>41121</v>
      </c>
      <c r="B30" s="296">
        <f>SUM('Notes - Jul12'!D9:D12)</f>
        <v>91084.66</v>
      </c>
      <c r="C30" s="296">
        <f>SUM('Notes - Jul12'!E9:E12)</f>
        <v>133075.6</v>
      </c>
      <c r="D30" s="296">
        <f>SUM('Notes - Jul12'!F9:F12)</f>
        <v>677319.67</v>
      </c>
      <c r="E30" s="428"/>
      <c r="F30" s="295">
        <f t="shared" si="1"/>
        <v>41121</v>
      </c>
      <c r="G30" s="296">
        <f t="shared" si="10"/>
        <v>91084.66</v>
      </c>
      <c r="H30" s="296">
        <f t="shared" si="11"/>
        <v>68571.540000000008</v>
      </c>
      <c r="I30" s="327">
        <f t="shared" si="4"/>
        <v>0.24716697630534049</v>
      </c>
      <c r="J30" s="296"/>
      <c r="K30" s="295">
        <f t="shared" si="5"/>
        <v>41121</v>
      </c>
      <c r="L30" s="296">
        <f t="shared" si="12"/>
        <v>810395.27</v>
      </c>
      <c r="M30" s="296">
        <f t="shared" si="13"/>
        <v>678846.87</v>
      </c>
      <c r="N30" s="297">
        <f t="shared" si="8"/>
        <v>0.16232621890796575</v>
      </c>
      <c r="P30" s="436">
        <f t="shared" si="9"/>
        <v>-66574.629999999888</v>
      </c>
      <c r="Q30" s="436"/>
      <c r="R30" s="428"/>
    </row>
    <row r="31" spans="1:18" x14ac:dyDescent="0.2">
      <c r="A31" s="295">
        <f t="shared" si="0"/>
        <v>41152</v>
      </c>
      <c r="B31" s="296">
        <f>SUM('Notes - Aug12'!D9:D12)</f>
        <v>225382.71</v>
      </c>
      <c r="C31" s="296">
        <f>SUM('Notes - Aug12'!E9:E12)</f>
        <v>68571.540000000008</v>
      </c>
      <c r="D31" s="296">
        <f>SUM('Notes - Aug12'!F9:F12)</f>
        <v>678846.87</v>
      </c>
      <c r="F31" s="295">
        <f t="shared" si="1"/>
        <v>41152</v>
      </c>
      <c r="G31" s="296">
        <f t="shared" si="10"/>
        <v>225382.71</v>
      </c>
      <c r="H31" s="296">
        <f t="shared" si="11"/>
        <v>161093.93999999997</v>
      </c>
      <c r="I31" s="327">
        <f t="shared" si="4"/>
        <v>0.28524268787077778</v>
      </c>
      <c r="K31" s="295">
        <f t="shared" si="5"/>
        <v>41152</v>
      </c>
      <c r="L31" s="296">
        <f t="shared" si="12"/>
        <v>747418.41</v>
      </c>
      <c r="M31" s="296">
        <f t="shared" si="13"/>
        <v>649147</v>
      </c>
      <c r="N31" s="297">
        <f t="shared" ref="N31:N36" si="14">(L31-M31)/L31</f>
        <v>0.13148112046102803</v>
      </c>
      <c r="P31" s="437">
        <f t="shared" si="9"/>
        <v>71321.189999999944</v>
      </c>
      <c r="Q31" s="437"/>
      <c r="R31" s="428"/>
    </row>
    <row r="32" spans="1:18" x14ac:dyDescent="0.2">
      <c r="A32" s="295">
        <f t="shared" si="0"/>
        <v>41182</v>
      </c>
      <c r="B32" s="296">
        <f>SUM('Notes - Sep12'!D9:D12)</f>
        <v>124203.09</v>
      </c>
      <c r="C32" s="296">
        <f>SUM('Notes - Sep12'!E9:E12)</f>
        <v>161093.93999999997</v>
      </c>
      <c r="D32" s="296">
        <f>SUM('Notes - Sep12'!F9:F12)</f>
        <v>649147</v>
      </c>
      <c r="E32" s="428"/>
      <c r="F32" s="295">
        <f t="shared" si="1"/>
        <v>41182</v>
      </c>
      <c r="G32" s="296">
        <f t="shared" si="10"/>
        <v>124203.09</v>
      </c>
      <c r="H32" s="296">
        <f t="shared" si="11"/>
        <v>70573.399999999994</v>
      </c>
      <c r="I32" s="327">
        <f t="shared" si="4"/>
        <v>0.43179030408985802</v>
      </c>
      <c r="K32" s="295">
        <f t="shared" si="5"/>
        <v>41182</v>
      </c>
      <c r="L32" s="296">
        <f t="shared" si="12"/>
        <v>810240.94</v>
      </c>
      <c r="M32" s="296">
        <f t="shared" si="13"/>
        <v>719317.96</v>
      </c>
      <c r="N32" s="297">
        <f t="shared" si="14"/>
        <v>0.11221721282067033</v>
      </c>
      <c r="P32" s="435">
        <f t="shared" si="9"/>
        <v>-38357.089999999967</v>
      </c>
      <c r="Q32" s="435"/>
      <c r="R32" s="428"/>
    </row>
    <row r="33" spans="1:18" x14ac:dyDescent="0.2">
      <c r="A33" s="295">
        <f t="shared" si="0"/>
        <v>41213</v>
      </c>
      <c r="B33" s="296">
        <f>SUM('Notes - Oct12'!D9:D12)</f>
        <v>95985.790000000008</v>
      </c>
      <c r="C33" s="296">
        <f>SUM('Notes - Oct12'!E9:E12)</f>
        <v>70573.399999999994</v>
      </c>
      <c r="D33" s="296">
        <f>SUM('Notes - Oct12'!F9:F12)</f>
        <v>719317.96</v>
      </c>
      <c r="E33" s="428"/>
      <c r="F33" s="295">
        <f t="shared" si="1"/>
        <v>41213</v>
      </c>
      <c r="G33" s="296">
        <f t="shared" si="10"/>
        <v>95985.790000000008</v>
      </c>
      <c r="H33" s="296">
        <f t="shared" si="11"/>
        <v>73907.039999999994</v>
      </c>
      <c r="I33" s="327">
        <f t="shared" si="4"/>
        <v>0.23002102707077801</v>
      </c>
      <c r="K33" s="295">
        <f t="shared" si="5"/>
        <v>41213</v>
      </c>
      <c r="L33" s="296">
        <f t="shared" si="12"/>
        <v>789891.36</v>
      </c>
      <c r="M33" s="296">
        <f t="shared" si="13"/>
        <v>701930.0199999999</v>
      </c>
      <c r="N33" s="297">
        <f t="shared" si="14"/>
        <v>0.1113587823014042</v>
      </c>
      <c r="P33" s="436">
        <f t="shared" si="9"/>
        <v>-48566.880000000121</v>
      </c>
      <c r="Q33" s="436"/>
      <c r="R33" s="428"/>
    </row>
    <row r="34" spans="1:18" x14ac:dyDescent="0.2">
      <c r="A34" s="295">
        <f t="shared" si="0"/>
        <v>41243</v>
      </c>
      <c r="B34" s="296">
        <f>SUM('Notes - Nov12'!D9:D12)</f>
        <v>178407.56</v>
      </c>
      <c r="C34" s="296">
        <f>SUM('Notes - Nov12'!E9:E12)</f>
        <v>73907.039999999994</v>
      </c>
      <c r="D34" s="296">
        <f>SUM('Notes - Nov12'!F9:F12)</f>
        <v>701930.0199999999</v>
      </c>
      <c r="E34" s="428"/>
      <c r="F34" s="295">
        <f t="shared" si="1"/>
        <v>41243</v>
      </c>
      <c r="G34" s="296">
        <f t="shared" ref="G34:G39" si="15">B34</f>
        <v>178407.56</v>
      </c>
      <c r="H34" s="296">
        <f t="shared" ref="H34:H39" si="16">C35</f>
        <v>150830.13999999998</v>
      </c>
      <c r="I34" s="327">
        <f t="shared" si="4"/>
        <v>0.15457540028012273</v>
      </c>
      <c r="K34" s="295">
        <f t="shared" si="5"/>
        <v>41243</v>
      </c>
      <c r="L34" s="296">
        <f t="shared" si="12"/>
        <v>775837.05999999994</v>
      </c>
      <c r="M34" s="296">
        <f t="shared" si="13"/>
        <v>696986.87</v>
      </c>
      <c r="N34" s="297">
        <f t="shared" si="14"/>
        <v>0.1016324097742894</v>
      </c>
      <c r="P34" s="437">
        <f t="shared" si="9"/>
        <v>68367.469999999972</v>
      </c>
      <c r="Q34" s="437"/>
      <c r="R34" s="428"/>
    </row>
    <row r="35" spans="1:18" x14ac:dyDescent="0.2">
      <c r="A35" s="295">
        <f t="shared" si="0"/>
        <v>41274</v>
      </c>
      <c r="B35" s="296">
        <f>SUM('Notes - Dec12'!D9:D12)</f>
        <v>95654.27</v>
      </c>
      <c r="C35" s="296">
        <f>SUM('Notes - Dec12'!E9:E12)</f>
        <v>150830.13999999998</v>
      </c>
      <c r="D35" s="296">
        <f>SUM('Notes - Dec12'!F9:F12)</f>
        <v>696986.87</v>
      </c>
      <c r="E35" s="428"/>
      <c r="F35" s="295">
        <f t="shared" si="1"/>
        <v>41274</v>
      </c>
      <c r="G35" s="296">
        <f t="shared" si="15"/>
        <v>95654.27</v>
      </c>
      <c r="H35" s="296">
        <f t="shared" si="16"/>
        <v>68164.34</v>
      </c>
      <c r="I35" s="327">
        <f t="shared" si="4"/>
        <v>0.2873884250018322</v>
      </c>
      <c r="K35" s="295">
        <f t="shared" si="5"/>
        <v>41274</v>
      </c>
      <c r="L35" s="296">
        <f t="shared" ref="L35:L40" si="17">SUM(C35:D35)</f>
        <v>847817.01</v>
      </c>
      <c r="M35" s="296">
        <f t="shared" ref="M35:M40" si="18">D36</f>
        <v>698633.81</v>
      </c>
      <c r="N35" s="297">
        <f t="shared" si="14"/>
        <v>0.17596155566635771</v>
      </c>
      <c r="P35" s="435">
        <f t="shared" ref="P35:P68" si="19">SUM(B35:D35)-SUM(B34:D34)</f>
        <v>-10773.339999999851</v>
      </c>
      <c r="Q35" s="435"/>
      <c r="R35" s="428"/>
    </row>
    <row r="36" spans="1:18" x14ac:dyDescent="0.2">
      <c r="A36" s="295">
        <f t="shared" si="0"/>
        <v>41305</v>
      </c>
      <c r="B36" s="296">
        <f>SUM('Notes - Jan13'!D9:D12)</f>
        <v>142420.31</v>
      </c>
      <c r="C36" s="296">
        <f>SUM('Notes - Jan13'!E9:E12)</f>
        <v>68164.34</v>
      </c>
      <c r="D36" s="296">
        <f>SUM('Notes - Jan13'!F9:F12)</f>
        <v>698633.81</v>
      </c>
      <c r="E36" s="428"/>
      <c r="F36" s="295">
        <f t="shared" si="1"/>
        <v>41305</v>
      </c>
      <c r="G36" s="296">
        <f t="shared" si="15"/>
        <v>142420.31</v>
      </c>
      <c r="H36" s="296">
        <f t="shared" si="16"/>
        <v>110509.01999999999</v>
      </c>
      <c r="I36" s="327">
        <f t="shared" ref="I36:I41" si="20">(G36-H36)/G36</f>
        <v>0.22406418017205557</v>
      </c>
      <c r="K36" s="295">
        <f t="shared" si="5"/>
        <v>41305</v>
      </c>
      <c r="L36" s="296">
        <f t="shared" si="17"/>
        <v>766798.15</v>
      </c>
      <c r="M36" s="296">
        <f t="shared" si="18"/>
        <v>681618.8899999999</v>
      </c>
      <c r="N36" s="297">
        <f t="shared" si="14"/>
        <v>0.11108433164581856</v>
      </c>
      <c r="P36" s="436">
        <f t="shared" si="19"/>
        <v>-34252.819999999949</v>
      </c>
      <c r="Q36" s="436"/>
      <c r="R36" s="428"/>
    </row>
    <row r="37" spans="1:18" x14ac:dyDescent="0.2">
      <c r="A37" s="295">
        <f t="shared" si="0"/>
        <v>41333</v>
      </c>
      <c r="B37" s="296">
        <f>SUM('Notes - Feb13'!D9:D12)</f>
        <v>182438.55</v>
      </c>
      <c r="C37" s="296">
        <f>SUM('Notes - Feb13'!E9:E12)</f>
        <v>110509.01999999999</v>
      </c>
      <c r="D37" s="296">
        <f>SUM('Notes - Feb13'!F9:F12)</f>
        <v>681618.8899999999</v>
      </c>
      <c r="E37" s="428"/>
      <c r="F37" s="295">
        <f t="shared" si="1"/>
        <v>41333</v>
      </c>
      <c r="G37" s="296">
        <f t="shared" si="15"/>
        <v>182438.55</v>
      </c>
      <c r="H37" s="296">
        <f t="shared" si="16"/>
        <v>134551.81</v>
      </c>
      <c r="I37" s="327">
        <f t="shared" si="20"/>
        <v>0.26248147663966848</v>
      </c>
      <c r="K37" s="295">
        <f t="shared" si="5"/>
        <v>41333</v>
      </c>
      <c r="L37" s="296">
        <f t="shared" si="17"/>
        <v>792127.90999999992</v>
      </c>
      <c r="M37" s="296">
        <f t="shared" si="18"/>
        <v>714418.08000000007</v>
      </c>
      <c r="N37" s="297">
        <f t="shared" ref="N37:N42" si="21">(L37-M37)/L37</f>
        <v>9.8102628400001529E-2</v>
      </c>
      <c r="P37" s="437">
        <f t="shared" si="19"/>
        <v>65347.999999999767</v>
      </c>
      <c r="Q37" s="437"/>
      <c r="R37" s="428"/>
    </row>
    <row r="38" spans="1:18" x14ac:dyDescent="0.2">
      <c r="A38" s="295">
        <f t="shared" si="0"/>
        <v>41364</v>
      </c>
      <c r="B38" s="296">
        <f>SUM('Notes - Mar13'!D9:D12)</f>
        <v>106202.58</v>
      </c>
      <c r="C38" s="296">
        <f>SUM('Notes - Mar13'!E9:E12)</f>
        <v>134551.81</v>
      </c>
      <c r="D38" s="296">
        <f>SUM('Notes - Mar13'!F9:F12)</f>
        <v>714418.08000000007</v>
      </c>
      <c r="E38" s="428"/>
      <c r="F38" s="295">
        <f t="shared" si="1"/>
        <v>41364</v>
      </c>
      <c r="G38" s="296">
        <f t="shared" si="15"/>
        <v>106202.58</v>
      </c>
      <c r="H38" s="296">
        <f t="shared" si="16"/>
        <v>81058.490000000005</v>
      </c>
      <c r="I38" s="327">
        <f t="shared" si="20"/>
        <v>0.23675592438526444</v>
      </c>
      <c r="K38" s="295">
        <f t="shared" si="5"/>
        <v>41364</v>
      </c>
      <c r="L38" s="296">
        <f t="shared" si="17"/>
        <v>848969.89000000013</v>
      </c>
      <c r="M38" s="296">
        <f t="shared" si="18"/>
        <v>747610.19</v>
      </c>
      <c r="N38" s="297">
        <f t="shared" si="21"/>
        <v>0.11939139561239348</v>
      </c>
      <c r="P38" s="435">
        <f t="shared" si="19"/>
        <v>-19393.989999999758</v>
      </c>
      <c r="Q38" s="435"/>
      <c r="R38" s="428"/>
    </row>
    <row r="39" spans="1:18" x14ac:dyDescent="0.2">
      <c r="A39" s="295">
        <f t="shared" si="0"/>
        <v>41394</v>
      </c>
      <c r="B39" s="296">
        <f>SUM('Notes - Apr13'!D9:D12)</f>
        <v>131550.23000000001</v>
      </c>
      <c r="C39" s="296">
        <f>SUM('Notes - Apr13'!E9:E12)</f>
        <v>81058.490000000005</v>
      </c>
      <c r="D39" s="296">
        <f>SUM('Notes - Apr13'!F9:F12)</f>
        <v>747610.19</v>
      </c>
      <c r="E39" s="428"/>
      <c r="F39" s="295">
        <f t="shared" si="1"/>
        <v>41394</v>
      </c>
      <c r="G39" s="296">
        <f t="shared" si="15"/>
        <v>131550.23000000001</v>
      </c>
      <c r="H39" s="296">
        <f t="shared" si="16"/>
        <v>104395.73999999999</v>
      </c>
      <c r="I39" s="327">
        <f t="shared" si="20"/>
        <v>0.20641917539786908</v>
      </c>
      <c r="K39" s="295">
        <f t="shared" si="5"/>
        <v>41394</v>
      </c>
      <c r="L39" s="296">
        <f t="shared" si="17"/>
        <v>828668.67999999993</v>
      </c>
      <c r="M39" s="296">
        <f t="shared" si="18"/>
        <v>724511.6</v>
      </c>
      <c r="N39" s="297">
        <f t="shared" si="21"/>
        <v>0.1256920679082501</v>
      </c>
      <c r="P39" s="436">
        <f t="shared" si="19"/>
        <v>5046.4399999998277</v>
      </c>
      <c r="Q39" s="436"/>
      <c r="R39" s="428"/>
    </row>
    <row r="40" spans="1:18" x14ac:dyDescent="0.2">
      <c r="A40" s="295">
        <f t="shared" si="0"/>
        <v>41425</v>
      </c>
      <c r="B40" s="296">
        <f>SUM('Notes - May13'!D9:D12)</f>
        <v>187695.27000000002</v>
      </c>
      <c r="C40" s="296">
        <f>SUM('Notes - May13'!E9:E12)</f>
        <v>104395.73999999999</v>
      </c>
      <c r="D40" s="296">
        <f>SUM('Notes - May13'!F9:F12)</f>
        <v>724511.6</v>
      </c>
      <c r="E40" s="428"/>
      <c r="F40" s="295">
        <f t="shared" si="1"/>
        <v>41425</v>
      </c>
      <c r="G40" s="296">
        <f t="shared" ref="G40:G45" si="22">B40</f>
        <v>187695.27000000002</v>
      </c>
      <c r="H40" s="296">
        <f t="shared" ref="H40:H45" si="23">C41</f>
        <v>146499.22</v>
      </c>
      <c r="I40" s="327">
        <f t="shared" si="20"/>
        <v>0.21948368757507855</v>
      </c>
      <c r="K40" s="295">
        <f t="shared" si="5"/>
        <v>41425</v>
      </c>
      <c r="L40" s="296">
        <f t="shared" si="17"/>
        <v>828907.34</v>
      </c>
      <c r="M40" s="296">
        <f t="shared" si="18"/>
        <v>746300.54</v>
      </c>
      <c r="N40" s="297">
        <f t="shared" si="21"/>
        <v>9.9657459903781206E-2</v>
      </c>
      <c r="P40" s="437">
        <f t="shared" si="19"/>
        <v>56383.70000000007</v>
      </c>
      <c r="Q40" s="437"/>
      <c r="R40" s="428"/>
    </row>
    <row r="41" spans="1:18" x14ac:dyDescent="0.2">
      <c r="A41" s="295">
        <f t="shared" si="0"/>
        <v>41455</v>
      </c>
      <c r="B41" s="296">
        <f>SUM('Notes - Jun13'!D9:D12)</f>
        <v>266126.89</v>
      </c>
      <c r="C41" s="296">
        <f>SUM('Notes - Jun13'!E9:E12)</f>
        <v>146499.22</v>
      </c>
      <c r="D41" s="296">
        <f>SUM('Notes - Jun13'!F9:F12)</f>
        <v>746300.54</v>
      </c>
      <c r="E41" s="428"/>
      <c r="F41" s="295">
        <f t="shared" si="1"/>
        <v>41455</v>
      </c>
      <c r="G41" s="296">
        <f t="shared" si="22"/>
        <v>266126.89</v>
      </c>
      <c r="H41" s="296">
        <f t="shared" si="23"/>
        <v>158773.26</v>
      </c>
      <c r="I41" s="327">
        <f t="shared" si="20"/>
        <v>0.40339264476430775</v>
      </c>
      <c r="K41" s="295">
        <f t="shared" si="5"/>
        <v>41455</v>
      </c>
      <c r="L41" s="296">
        <f t="shared" ref="L41:L46" si="24">SUM(C41:D41)</f>
        <v>892799.76</v>
      </c>
      <c r="M41" s="296">
        <f t="shared" ref="M41:M46" si="25">D42</f>
        <v>830080.07000000007</v>
      </c>
      <c r="N41" s="297">
        <f t="shared" si="21"/>
        <v>7.0250567719686602E-2</v>
      </c>
      <c r="P41" s="435">
        <f t="shared" si="19"/>
        <v>142324.03999999992</v>
      </c>
      <c r="Q41" s="435"/>
      <c r="R41" s="428"/>
    </row>
    <row r="42" spans="1:18" x14ac:dyDescent="0.2">
      <c r="A42" s="295">
        <f t="shared" si="0"/>
        <v>41486</v>
      </c>
      <c r="B42" s="296">
        <f>SUM('Notes - Jul 13'!D8:D11)</f>
        <v>129250.15</v>
      </c>
      <c r="C42" s="296">
        <f>SUM('Notes - Jul 13'!E8:E11)</f>
        <v>158773.26</v>
      </c>
      <c r="D42" s="296">
        <f>SUM('Notes - Jul 13'!F8:F11)</f>
        <v>830080.07000000007</v>
      </c>
      <c r="E42" s="428"/>
      <c r="F42" s="295">
        <f t="shared" si="1"/>
        <v>41486</v>
      </c>
      <c r="G42" s="296">
        <f t="shared" si="22"/>
        <v>129250.15</v>
      </c>
      <c r="H42" s="296">
        <f t="shared" si="23"/>
        <v>81501.83</v>
      </c>
      <c r="I42" s="327">
        <f t="shared" ref="I42:I47" si="26">(G42-H42)/G42</f>
        <v>0.36942564476714335</v>
      </c>
      <c r="K42" s="295">
        <f t="shared" si="5"/>
        <v>41486</v>
      </c>
      <c r="L42" s="296">
        <f t="shared" si="24"/>
        <v>988853.33000000007</v>
      </c>
      <c r="M42" s="296">
        <f t="shared" si="25"/>
        <v>863283.66999999993</v>
      </c>
      <c r="N42" s="297">
        <f t="shared" si="21"/>
        <v>0.12698512124138789</v>
      </c>
      <c r="P42" s="436">
        <f t="shared" si="19"/>
        <v>-40823.169999999925</v>
      </c>
      <c r="Q42" s="436"/>
      <c r="R42" s="428"/>
    </row>
    <row r="43" spans="1:18" x14ac:dyDescent="0.2">
      <c r="A43" s="295">
        <f t="shared" si="0"/>
        <v>41517</v>
      </c>
      <c r="B43" s="296">
        <f>SUM('Notes - Aug13'!D8:D11)</f>
        <v>308928.64000000001</v>
      </c>
      <c r="C43" s="296">
        <f>SUM('Notes - Aug13'!E8:E11)</f>
        <v>81501.83</v>
      </c>
      <c r="D43" s="296">
        <f>SUM('Notes - Aug13'!F8:F11)</f>
        <v>863283.66999999993</v>
      </c>
      <c r="E43" s="428"/>
      <c r="F43" s="295">
        <f t="shared" si="1"/>
        <v>41517</v>
      </c>
      <c r="G43" s="296">
        <f t="shared" si="22"/>
        <v>308928.64000000001</v>
      </c>
      <c r="H43" s="296">
        <f t="shared" si="23"/>
        <v>241521.08</v>
      </c>
      <c r="I43" s="327">
        <f t="shared" si="26"/>
        <v>0.21819783364857342</v>
      </c>
      <c r="K43" s="295">
        <f t="shared" si="5"/>
        <v>41517</v>
      </c>
      <c r="L43" s="296">
        <f t="shared" si="24"/>
        <v>944785.49999999988</v>
      </c>
      <c r="M43" s="296">
        <f t="shared" si="25"/>
        <v>851626.22</v>
      </c>
      <c r="N43" s="297">
        <f t="shared" ref="N43:N48" si="27">(L43-M43)/L43</f>
        <v>9.8603630136152517E-2</v>
      </c>
      <c r="P43" s="437">
        <f t="shared" si="19"/>
        <v>135610.65999999992</v>
      </c>
      <c r="Q43" s="437"/>
      <c r="R43" s="428"/>
    </row>
    <row r="44" spans="1:18" x14ac:dyDescent="0.2">
      <c r="A44" s="295">
        <f t="shared" si="0"/>
        <v>41547</v>
      </c>
      <c r="B44" s="296">
        <f>SUM('Notes - Sep13'!D8:D11)</f>
        <v>160249.1</v>
      </c>
      <c r="C44" s="296">
        <f>SUM('Notes - Sep13'!E8:E11)</f>
        <v>241521.08</v>
      </c>
      <c r="D44" s="296">
        <f>SUM('Notes - Sep13'!F8:F11)</f>
        <v>851626.22</v>
      </c>
      <c r="E44" s="428"/>
      <c r="F44" s="295">
        <f t="shared" si="1"/>
        <v>41547</v>
      </c>
      <c r="G44" s="296">
        <f t="shared" si="22"/>
        <v>160249.1</v>
      </c>
      <c r="H44" s="296">
        <f t="shared" si="23"/>
        <v>113048.5</v>
      </c>
      <c r="I44" s="327">
        <f t="shared" si="26"/>
        <v>0.29454517997292967</v>
      </c>
      <c r="K44" s="295">
        <f t="shared" si="5"/>
        <v>41547</v>
      </c>
      <c r="L44" s="296">
        <f t="shared" si="24"/>
        <v>1093147.3</v>
      </c>
      <c r="M44" s="296">
        <f t="shared" si="25"/>
        <v>955504.32000000007</v>
      </c>
      <c r="N44" s="297">
        <f t="shared" si="27"/>
        <v>0.12591439415346858</v>
      </c>
      <c r="P44" s="435">
        <f t="shared" si="19"/>
        <v>-317.73999999999069</v>
      </c>
      <c r="Q44" s="435"/>
      <c r="R44" s="428"/>
    </row>
    <row r="45" spans="1:18" x14ac:dyDescent="0.2">
      <c r="A45" s="295">
        <f t="shared" si="0"/>
        <v>41578</v>
      </c>
      <c r="B45" s="296">
        <f>SUM('Notes - Oct13'!D8:D11)</f>
        <v>105248.43</v>
      </c>
      <c r="C45" s="296">
        <f>SUM('Notes - Oct13'!E8:E11)</f>
        <v>113048.5</v>
      </c>
      <c r="D45" s="296">
        <f>SUM('Notes - Oct13'!F8:F11)</f>
        <v>955504.32000000007</v>
      </c>
      <c r="E45" s="428"/>
      <c r="F45" s="295">
        <f t="shared" si="1"/>
        <v>41578</v>
      </c>
      <c r="G45" s="296">
        <f t="shared" si="22"/>
        <v>105248.43</v>
      </c>
      <c r="H45" s="296">
        <f t="shared" si="23"/>
        <v>83916.029999999984</v>
      </c>
      <c r="I45" s="327">
        <f t="shared" si="26"/>
        <v>0.20268615883391333</v>
      </c>
      <c r="K45" s="295">
        <f t="shared" si="5"/>
        <v>41578</v>
      </c>
      <c r="L45" s="296">
        <f t="shared" si="24"/>
        <v>1068552.82</v>
      </c>
      <c r="M45" s="296">
        <f t="shared" si="25"/>
        <v>927939.21</v>
      </c>
      <c r="N45" s="297">
        <f t="shared" si="27"/>
        <v>0.13159256834865693</v>
      </c>
      <c r="P45" s="436">
        <f t="shared" si="19"/>
        <v>-79595.149999999907</v>
      </c>
      <c r="Q45" s="436"/>
      <c r="R45" s="428"/>
    </row>
    <row r="46" spans="1:18" x14ac:dyDescent="0.2">
      <c r="A46" s="295">
        <f t="shared" si="0"/>
        <v>41608</v>
      </c>
      <c r="B46" s="296">
        <f>SUM('Notes - Nov13'!D8:D11)</f>
        <v>220475.93999999997</v>
      </c>
      <c r="C46" s="296">
        <f>SUM('Notes - Nov13'!E8:E11)</f>
        <v>83916.029999999984</v>
      </c>
      <c r="D46" s="296">
        <f>SUM('Notes - Nov13'!F8:F11)</f>
        <v>927939.21</v>
      </c>
      <c r="E46" s="428"/>
      <c r="F46" s="295">
        <f t="shared" si="1"/>
        <v>41608</v>
      </c>
      <c r="G46" s="296">
        <f t="shared" ref="G46:G51" si="28">B46</f>
        <v>220475.93999999997</v>
      </c>
      <c r="H46" s="296">
        <f t="shared" ref="H46:H51" si="29">C47</f>
        <v>181952.25999999998</v>
      </c>
      <c r="I46" s="327">
        <f t="shared" si="26"/>
        <v>0.17472963263020899</v>
      </c>
      <c r="K46" s="295">
        <f t="shared" si="5"/>
        <v>41608</v>
      </c>
      <c r="L46" s="296">
        <f t="shared" si="24"/>
        <v>1011855.24</v>
      </c>
      <c r="M46" s="296">
        <f t="shared" si="25"/>
        <v>803282.61</v>
      </c>
      <c r="N46" s="297">
        <f t="shared" si="27"/>
        <v>0.20612892215688877</v>
      </c>
      <c r="P46" s="437">
        <f t="shared" si="19"/>
        <v>58529.929999999935</v>
      </c>
      <c r="Q46" s="437"/>
      <c r="R46" s="428"/>
    </row>
    <row r="47" spans="1:18" x14ac:dyDescent="0.2">
      <c r="A47" s="295">
        <f t="shared" si="0"/>
        <v>41639</v>
      </c>
      <c r="B47" s="296">
        <f>SUM('Notes - Dec13'!D8:D11)</f>
        <v>162654.88999999998</v>
      </c>
      <c r="C47" s="296">
        <f>SUM('Notes - Dec13'!E8:E11)</f>
        <v>181952.25999999998</v>
      </c>
      <c r="D47" s="296">
        <f>SUM('Notes - Dec13'!F8:F11)</f>
        <v>803282.61</v>
      </c>
      <c r="E47" s="428"/>
      <c r="F47" s="295">
        <f t="shared" si="1"/>
        <v>41639</v>
      </c>
      <c r="G47" s="296">
        <f t="shared" si="28"/>
        <v>162654.88999999998</v>
      </c>
      <c r="H47" s="296">
        <f t="shared" si="29"/>
        <v>119517.4</v>
      </c>
      <c r="I47" s="327">
        <f t="shared" si="26"/>
        <v>0.26520868816178839</v>
      </c>
      <c r="K47" s="295">
        <f t="shared" si="5"/>
        <v>41639</v>
      </c>
      <c r="L47" s="296">
        <f t="shared" ref="L47:L52" si="30">SUM(C47:D47)</f>
        <v>985234.87</v>
      </c>
      <c r="M47" s="296">
        <f t="shared" ref="M47:M52" si="31">D48</f>
        <v>883893.75</v>
      </c>
      <c r="N47" s="297">
        <f t="shared" si="27"/>
        <v>0.10285985919276283</v>
      </c>
      <c r="P47" s="435">
        <f t="shared" si="19"/>
        <v>-84441.419999999925</v>
      </c>
      <c r="Q47" s="435"/>
      <c r="R47" s="428"/>
    </row>
    <row r="48" spans="1:18" x14ac:dyDescent="0.2">
      <c r="A48" s="295">
        <f t="shared" si="0"/>
        <v>41670</v>
      </c>
      <c r="B48" s="296">
        <f>SUM('Notes - Jan14'!D8:D11)</f>
        <v>51148.25</v>
      </c>
      <c r="C48" s="296">
        <f>SUM('Notes - Jan14'!E8:E11)</f>
        <v>119517.4</v>
      </c>
      <c r="D48" s="296">
        <f>SUM('Notes - Jan14'!F8:F11)</f>
        <v>883893.75</v>
      </c>
      <c r="E48" s="428"/>
      <c r="F48" s="295">
        <f t="shared" si="1"/>
        <v>41670</v>
      </c>
      <c r="G48" s="296">
        <f t="shared" si="28"/>
        <v>51148.25</v>
      </c>
      <c r="H48" s="296">
        <f t="shared" si="29"/>
        <v>62386.62</v>
      </c>
      <c r="I48" s="303">
        <f t="shared" ref="I48:I53" si="32">(G48-H48)/G48</f>
        <v>-0.21972149584785408</v>
      </c>
      <c r="K48" s="295">
        <f t="shared" si="5"/>
        <v>41670</v>
      </c>
      <c r="L48" s="296">
        <f t="shared" si="30"/>
        <v>1003411.15</v>
      </c>
      <c r="M48" s="296">
        <f t="shared" si="31"/>
        <v>868948.91</v>
      </c>
      <c r="N48" s="297">
        <f t="shared" si="27"/>
        <v>0.13400512840623705</v>
      </c>
      <c r="P48" s="436">
        <f t="shared" si="19"/>
        <v>-93330.360000000102</v>
      </c>
      <c r="Q48" s="436"/>
      <c r="R48" s="428"/>
    </row>
    <row r="49" spans="1:18" x14ac:dyDescent="0.2">
      <c r="A49" s="295">
        <f t="shared" si="0"/>
        <v>41698</v>
      </c>
      <c r="B49" s="296">
        <f>SUM('Notes - Feb14'!D8:D11)</f>
        <v>194773.48</v>
      </c>
      <c r="C49" s="296">
        <f>SUM('Notes - Feb14'!E8:E11)</f>
        <v>62386.62</v>
      </c>
      <c r="D49" s="296">
        <f>SUM('Notes - Feb14'!F8:F11)</f>
        <v>868948.91</v>
      </c>
      <c r="E49" s="428"/>
      <c r="F49" s="295">
        <f t="shared" si="1"/>
        <v>41698</v>
      </c>
      <c r="G49" s="296">
        <f t="shared" si="28"/>
        <v>194773.48</v>
      </c>
      <c r="H49" s="296">
        <f t="shared" si="29"/>
        <v>169944.53000000003</v>
      </c>
      <c r="I49" s="327">
        <f t="shared" si="32"/>
        <v>0.12747603010430364</v>
      </c>
      <c r="K49" s="295">
        <f t="shared" si="5"/>
        <v>41698</v>
      </c>
      <c r="L49" s="296">
        <f t="shared" si="30"/>
        <v>931335.53</v>
      </c>
      <c r="M49" s="296">
        <f t="shared" si="31"/>
        <v>831010.11</v>
      </c>
      <c r="N49" s="297">
        <f t="shared" ref="N49:N54" si="33">(L49-M49)/L49</f>
        <v>0.10772210097042044</v>
      </c>
      <c r="P49" s="437">
        <f t="shared" si="19"/>
        <v>71549.610000000102</v>
      </c>
      <c r="Q49" s="437"/>
      <c r="R49" s="428"/>
    </row>
    <row r="50" spans="1:18" x14ac:dyDescent="0.2">
      <c r="A50" s="295">
        <f t="shared" si="0"/>
        <v>41729</v>
      </c>
      <c r="B50" s="296">
        <f>SUM('Notes - Mar14'!D8:D11)</f>
        <v>164626.51</v>
      </c>
      <c r="C50" s="296">
        <f>SUM('Notes - Mar14'!E8:E11)</f>
        <v>169944.53000000003</v>
      </c>
      <c r="D50" s="296">
        <f>SUM('Notes - Mar14'!F8:F11)</f>
        <v>831010.11</v>
      </c>
      <c r="E50" s="428"/>
      <c r="F50" s="295">
        <f t="shared" si="1"/>
        <v>41729</v>
      </c>
      <c r="G50" s="296">
        <f t="shared" si="28"/>
        <v>164626.51</v>
      </c>
      <c r="H50" s="296">
        <f t="shared" si="29"/>
        <v>146310.85999999999</v>
      </c>
      <c r="I50" s="327">
        <f t="shared" si="32"/>
        <v>0.11125577526973039</v>
      </c>
      <c r="K50" s="295">
        <f t="shared" si="5"/>
        <v>41729</v>
      </c>
      <c r="L50" s="296">
        <f t="shared" si="30"/>
        <v>1000954.64</v>
      </c>
      <c r="M50" s="296">
        <f t="shared" si="31"/>
        <v>893674.27</v>
      </c>
      <c r="N50" s="297">
        <f t="shared" si="33"/>
        <v>0.10717805354296574</v>
      </c>
      <c r="P50" s="435">
        <f t="shared" si="19"/>
        <v>39472.139999999898</v>
      </c>
      <c r="Q50" s="435"/>
      <c r="R50" s="428"/>
    </row>
    <row r="51" spans="1:18" x14ac:dyDescent="0.2">
      <c r="A51" s="295">
        <f t="shared" si="0"/>
        <v>41759</v>
      </c>
      <c r="B51" s="296">
        <f>SUM('Notes - Apr14'!D8:D11)</f>
        <v>76734.16</v>
      </c>
      <c r="C51" s="296">
        <f>SUM('Notes - Apr14'!E8:E11)</f>
        <v>146310.85999999999</v>
      </c>
      <c r="D51" s="296">
        <f>SUM('Notes - Apr14'!F8:F11)</f>
        <v>893674.27</v>
      </c>
      <c r="E51" s="428"/>
      <c r="F51" s="295">
        <f t="shared" si="1"/>
        <v>41759</v>
      </c>
      <c r="G51" s="296">
        <f t="shared" si="28"/>
        <v>76734.16</v>
      </c>
      <c r="H51" s="296">
        <f t="shared" si="29"/>
        <v>49433.74</v>
      </c>
      <c r="I51" s="327">
        <f t="shared" si="32"/>
        <v>0.35577922531503575</v>
      </c>
      <c r="K51" s="295">
        <f t="shared" si="5"/>
        <v>41759</v>
      </c>
      <c r="L51" s="296">
        <f t="shared" si="30"/>
        <v>1039985.13</v>
      </c>
      <c r="M51" s="296">
        <f t="shared" si="31"/>
        <v>931845.99</v>
      </c>
      <c r="N51" s="297">
        <f t="shared" si="33"/>
        <v>0.10398142904216334</v>
      </c>
      <c r="P51" s="436">
        <f t="shared" si="19"/>
        <v>-48861.85999999987</v>
      </c>
      <c r="Q51" s="436"/>
      <c r="R51" s="428"/>
    </row>
    <row r="52" spans="1:18" x14ac:dyDescent="0.2">
      <c r="A52" s="295">
        <f t="shared" si="0"/>
        <v>41790</v>
      </c>
      <c r="B52" s="296">
        <f>SUM('Notes - May14'!D8:D11)</f>
        <v>247794.95</v>
      </c>
      <c r="C52" s="296">
        <f>SUM('Notes - May14'!E8:E11)</f>
        <v>49433.74</v>
      </c>
      <c r="D52" s="296">
        <f>SUM('Notes - May14'!F8:F11)</f>
        <v>931845.99</v>
      </c>
      <c r="E52" s="428"/>
      <c r="F52" s="295">
        <f t="shared" si="1"/>
        <v>41790</v>
      </c>
      <c r="G52" s="296">
        <f t="shared" ref="G52:G57" si="34">B52</f>
        <v>247794.95</v>
      </c>
      <c r="H52" s="296">
        <f t="shared" ref="H52:H57" si="35">C53</f>
        <v>203955.64</v>
      </c>
      <c r="I52" s="327">
        <f t="shared" si="32"/>
        <v>0.17691768940408187</v>
      </c>
      <c r="K52" s="295">
        <f t="shared" si="5"/>
        <v>41790</v>
      </c>
      <c r="L52" s="296">
        <f t="shared" si="30"/>
        <v>981279.73</v>
      </c>
      <c r="M52" s="296">
        <f t="shared" si="31"/>
        <v>839774.77999999991</v>
      </c>
      <c r="N52" s="297">
        <f t="shared" si="33"/>
        <v>0.14420449712132552</v>
      </c>
      <c r="P52" s="437">
        <f t="shared" si="19"/>
        <v>112355.3899999999</v>
      </c>
      <c r="Q52" s="437"/>
      <c r="R52" s="428"/>
    </row>
    <row r="53" spans="1:18" x14ac:dyDescent="0.2">
      <c r="A53" s="295">
        <f t="shared" si="0"/>
        <v>41820</v>
      </c>
      <c r="B53" s="296">
        <f>SUM('Notes - Jun14'!D8:D11)</f>
        <v>172412.19</v>
      </c>
      <c r="C53" s="296">
        <f>SUM('Notes - Jun14'!E8:E11)</f>
        <v>203955.64</v>
      </c>
      <c r="D53" s="296">
        <f>SUM('Notes - Jun14'!F8:F11)</f>
        <v>839774.77999999991</v>
      </c>
      <c r="E53" s="428"/>
      <c r="F53" s="295">
        <f t="shared" si="1"/>
        <v>41820</v>
      </c>
      <c r="G53" s="296">
        <f t="shared" si="34"/>
        <v>172412.19</v>
      </c>
      <c r="H53" s="296">
        <f t="shared" si="35"/>
        <v>126882.22</v>
      </c>
      <c r="I53" s="327">
        <f t="shared" si="32"/>
        <v>0.26407628138126427</v>
      </c>
      <c r="K53" s="295">
        <f t="shared" si="5"/>
        <v>41820</v>
      </c>
      <c r="L53" s="296">
        <f t="shared" ref="L53:L58" si="36">SUM(C53:D53)</f>
        <v>1043730.4199999999</v>
      </c>
      <c r="M53" s="296">
        <f t="shared" ref="M53:M58" si="37">D54</f>
        <v>827828.55</v>
      </c>
      <c r="N53" s="297">
        <f t="shared" si="33"/>
        <v>0.20685597148735005</v>
      </c>
      <c r="P53" s="435">
        <f t="shared" si="19"/>
        <v>-12932.070000000065</v>
      </c>
      <c r="Q53" s="435"/>
      <c r="R53" s="428"/>
    </row>
    <row r="54" spans="1:18" x14ac:dyDescent="0.2">
      <c r="A54" s="295">
        <f t="shared" si="0"/>
        <v>41851</v>
      </c>
      <c r="B54" s="296">
        <f>SUM('Notes - Jul14'!D8:D11)</f>
        <v>67670.420000000013</v>
      </c>
      <c r="C54" s="296">
        <f>SUM('Notes - Jul14'!E8:E11)</f>
        <v>126882.22</v>
      </c>
      <c r="D54" s="296">
        <f>SUM('Notes - Jul14'!F8:F11)</f>
        <v>827828.55</v>
      </c>
      <c r="E54" s="428"/>
      <c r="F54" s="295">
        <f t="shared" si="1"/>
        <v>41851</v>
      </c>
      <c r="G54" s="296">
        <f t="shared" si="34"/>
        <v>67670.420000000013</v>
      </c>
      <c r="H54" s="296">
        <f t="shared" si="35"/>
        <v>50934.909999999996</v>
      </c>
      <c r="I54" s="327">
        <f t="shared" ref="I54:I59" si="38">(G54-H54)/G54</f>
        <v>0.24730909014603447</v>
      </c>
      <c r="K54" s="295">
        <f t="shared" si="5"/>
        <v>41851</v>
      </c>
      <c r="L54" s="296">
        <f t="shared" si="36"/>
        <v>954710.77</v>
      </c>
      <c r="M54" s="296">
        <f t="shared" si="37"/>
        <v>799616.85</v>
      </c>
      <c r="N54" s="297">
        <f t="shared" si="33"/>
        <v>0.16245121022359477</v>
      </c>
      <c r="P54" s="436">
        <f t="shared" si="19"/>
        <v>-193761.41999999981</v>
      </c>
      <c r="Q54" s="436"/>
      <c r="R54" s="428"/>
    </row>
    <row r="55" spans="1:18" x14ac:dyDescent="0.2">
      <c r="A55" s="295">
        <f t="shared" si="0"/>
        <v>41882</v>
      </c>
      <c r="B55" s="296">
        <f>SUM('Notes - Aug14'!D8:D11)</f>
        <v>241904.57</v>
      </c>
      <c r="C55" s="296">
        <f>SUM('Notes - Aug14'!E8:E11)</f>
        <v>50934.909999999996</v>
      </c>
      <c r="D55" s="296">
        <f>SUM('Notes - Aug14'!F8:F11)</f>
        <v>799616.85</v>
      </c>
      <c r="E55" s="428"/>
      <c r="F55" s="295">
        <f t="shared" si="1"/>
        <v>41882</v>
      </c>
      <c r="G55" s="296">
        <f t="shared" si="34"/>
        <v>241904.57</v>
      </c>
      <c r="H55" s="296">
        <f t="shared" si="35"/>
        <v>184791.12000000002</v>
      </c>
      <c r="I55" s="327">
        <f t="shared" si="38"/>
        <v>0.23609909477939992</v>
      </c>
      <c r="K55" s="295">
        <f t="shared" si="5"/>
        <v>41882</v>
      </c>
      <c r="L55" s="296">
        <f t="shared" si="36"/>
        <v>850551.76</v>
      </c>
      <c r="M55" s="296">
        <f t="shared" si="37"/>
        <v>739736.4</v>
      </c>
      <c r="N55" s="297">
        <f t="shared" ref="N55:N60" si="39">(L55-M55)/L55</f>
        <v>0.13028643900519352</v>
      </c>
      <c r="P55" s="437">
        <f t="shared" si="19"/>
        <v>70075.140000000014</v>
      </c>
      <c r="Q55" s="437"/>
      <c r="R55" s="428"/>
    </row>
    <row r="56" spans="1:18" x14ac:dyDescent="0.2">
      <c r="A56" s="295">
        <f t="shared" si="0"/>
        <v>41912</v>
      </c>
      <c r="B56" s="296">
        <f>SUM('Notes - Sep14'!D8:D11)</f>
        <v>160492.9</v>
      </c>
      <c r="C56" s="296">
        <f>SUM('Notes - Sep14'!E8:E11)</f>
        <v>184791.12000000002</v>
      </c>
      <c r="D56" s="296">
        <f>SUM('Notes - Sep14'!F8:F11)</f>
        <v>739736.4</v>
      </c>
      <c r="E56" s="428"/>
      <c r="F56" s="295">
        <f t="shared" si="1"/>
        <v>41912</v>
      </c>
      <c r="G56" s="296">
        <f t="shared" si="34"/>
        <v>160492.9</v>
      </c>
      <c r="H56" s="296">
        <f t="shared" si="35"/>
        <v>116232.27</v>
      </c>
      <c r="I56" s="327">
        <f t="shared" si="38"/>
        <v>0.27577936469463754</v>
      </c>
      <c r="K56" s="295">
        <f t="shared" si="5"/>
        <v>41912</v>
      </c>
      <c r="L56" s="296">
        <f t="shared" si="36"/>
        <v>924527.52</v>
      </c>
      <c r="M56" s="296">
        <f t="shared" si="37"/>
        <v>806408.55999999994</v>
      </c>
      <c r="N56" s="297">
        <f t="shared" si="39"/>
        <v>0.12776143213130106</v>
      </c>
      <c r="P56" s="435">
        <f t="shared" si="19"/>
        <v>-7435.910000000149</v>
      </c>
      <c r="Q56" s="435"/>
      <c r="R56" s="428"/>
    </row>
    <row r="57" spans="1:18" x14ac:dyDescent="0.2">
      <c r="A57" s="295">
        <f t="shared" si="0"/>
        <v>41943</v>
      </c>
      <c r="B57" s="296">
        <f>SUM('Notes - Oct14'!D8:D11)</f>
        <v>49091.729999999996</v>
      </c>
      <c r="C57" s="296">
        <f>SUM('Notes - Oct14'!E8:E11)</f>
        <v>116232.27</v>
      </c>
      <c r="D57" s="296">
        <f>SUM('Notes - Oct14'!F8:F11)</f>
        <v>806408.55999999994</v>
      </c>
      <c r="E57" s="428"/>
      <c r="F57" s="295">
        <f t="shared" si="1"/>
        <v>41943</v>
      </c>
      <c r="G57" s="296">
        <f t="shared" si="34"/>
        <v>49091.729999999996</v>
      </c>
      <c r="H57" s="296">
        <f t="shared" si="35"/>
        <v>36595.5</v>
      </c>
      <c r="I57" s="327">
        <f t="shared" si="38"/>
        <v>0.2545485767154671</v>
      </c>
      <c r="K57" s="295">
        <f t="shared" si="5"/>
        <v>41943</v>
      </c>
      <c r="L57" s="296">
        <f t="shared" si="36"/>
        <v>922640.83</v>
      </c>
      <c r="M57" s="296">
        <f t="shared" si="37"/>
        <v>814234.26</v>
      </c>
      <c r="N57" s="297">
        <f t="shared" si="39"/>
        <v>0.11749595993925388</v>
      </c>
      <c r="P57" s="436">
        <f t="shared" si="19"/>
        <v>-113287.85999999999</v>
      </c>
      <c r="Q57" s="436"/>
      <c r="R57" s="428"/>
    </row>
    <row r="58" spans="1:18" x14ac:dyDescent="0.2">
      <c r="A58" s="295">
        <f t="shared" si="0"/>
        <v>41973</v>
      </c>
      <c r="B58" s="296">
        <f>SUM('Notes - Nov14'!D8:D11)</f>
        <v>215543.15999999997</v>
      </c>
      <c r="C58" s="296">
        <f>SUM('Notes - Nov14'!E8:E11)</f>
        <v>36595.5</v>
      </c>
      <c r="D58" s="296">
        <f>SUM('Notes - Nov14'!F8:F11)</f>
        <v>814234.26</v>
      </c>
      <c r="E58" s="428"/>
      <c r="F58" s="295">
        <f t="shared" si="1"/>
        <v>41973</v>
      </c>
      <c r="G58" s="296">
        <f t="shared" ref="G58:G63" si="40">B58</f>
        <v>215543.15999999997</v>
      </c>
      <c r="H58" s="296">
        <f t="shared" ref="H58:H63" si="41">C59</f>
        <v>158002.73000000001</v>
      </c>
      <c r="I58" s="327">
        <f t="shared" si="38"/>
        <v>0.26695549049202011</v>
      </c>
      <c r="K58" s="295">
        <f t="shared" si="5"/>
        <v>41973</v>
      </c>
      <c r="L58" s="296">
        <f t="shared" si="36"/>
        <v>850829.76</v>
      </c>
      <c r="M58" s="296">
        <f t="shared" si="37"/>
        <v>764851.25</v>
      </c>
      <c r="N58" s="297">
        <f t="shared" si="39"/>
        <v>0.10105254193271285</v>
      </c>
      <c r="P58" s="437">
        <f t="shared" si="19"/>
        <v>94640.359999999986</v>
      </c>
      <c r="Q58" s="437"/>
      <c r="R58" s="428"/>
    </row>
    <row r="59" spans="1:18" x14ac:dyDescent="0.2">
      <c r="A59" s="295">
        <f t="shared" si="0"/>
        <v>42004</v>
      </c>
      <c r="B59" s="296">
        <f>SUM('Notes - Dec14'!D8:D11)</f>
        <v>129667.48999999999</v>
      </c>
      <c r="C59" s="296">
        <f>SUM('Notes - Dec14'!E8:E11)</f>
        <v>158002.73000000001</v>
      </c>
      <c r="D59" s="296">
        <f>SUM('Notes - Dec14'!F8:F11)</f>
        <v>764851.25</v>
      </c>
      <c r="E59" s="428"/>
      <c r="F59" s="295">
        <f t="shared" si="1"/>
        <v>42004</v>
      </c>
      <c r="G59" s="296">
        <f t="shared" si="40"/>
        <v>129667.48999999999</v>
      </c>
      <c r="H59" s="296">
        <f t="shared" si="41"/>
        <v>112066.23000000001</v>
      </c>
      <c r="I59" s="327">
        <f t="shared" si="38"/>
        <v>0.13574150313235786</v>
      </c>
      <c r="K59" s="295">
        <f t="shared" si="5"/>
        <v>42004</v>
      </c>
      <c r="L59" s="296">
        <f t="shared" ref="L59:L64" si="42">SUM(C59:D59)</f>
        <v>922853.98</v>
      </c>
      <c r="M59" s="296">
        <f t="shared" ref="M59:M64" si="43">D60</f>
        <v>831993.59</v>
      </c>
      <c r="N59" s="297">
        <f t="shared" si="39"/>
        <v>9.8455868392093859E-2</v>
      </c>
      <c r="P59" s="435">
        <f t="shared" si="19"/>
        <v>-13851.449999999953</v>
      </c>
      <c r="Q59" s="435"/>
      <c r="R59" s="428"/>
    </row>
    <row r="60" spans="1:18" x14ac:dyDescent="0.2">
      <c r="A60" s="295">
        <f t="shared" si="0"/>
        <v>42035</v>
      </c>
      <c r="B60" s="296">
        <f>SUM('Notes - Jan15'!D8:D11)</f>
        <v>67777.759999999995</v>
      </c>
      <c r="C60" s="296">
        <f>SUM('Notes - Jan15'!E8:E11)</f>
        <v>112066.23000000001</v>
      </c>
      <c r="D60" s="296">
        <f>SUM('Notes - Jan15'!F8:F11)</f>
        <v>831993.59</v>
      </c>
      <c r="E60" s="428"/>
      <c r="F60" s="295">
        <f t="shared" si="1"/>
        <v>42035</v>
      </c>
      <c r="G60" s="296">
        <f t="shared" si="40"/>
        <v>67777.759999999995</v>
      </c>
      <c r="H60" s="296">
        <f t="shared" si="41"/>
        <v>46374.78</v>
      </c>
      <c r="I60" s="327">
        <f t="shared" ref="I60:I65" si="44">(G60-H60)/G60</f>
        <v>0.31578175495914879</v>
      </c>
      <c r="K60" s="295">
        <f t="shared" si="5"/>
        <v>42035</v>
      </c>
      <c r="L60" s="296">
        <f t="shared" si="42"/>
        <v>944059.82</v>
      </c>
      <c r="M60" s="296">
        <f t="shared" si="43"/>
        <v>817826.27</v>
      </c>
      <c r="N60" s="297">
        <f t="shared" si="39"/>
        <v>0.13371350768852755</v>
      </c>
      <c r="P60" s="436">
        <f t="shared" si="19"/>
        <v>-40683.890000000014</v>
      </c>
      <c r="Q60" s="436"/>
      <c r="R60" s="428"/>
    </row>
    <row r="61" spans="1:18" x14ac:dyDescent="0.2">
      <c r="A61" s="295">
        <f t="shared" si="0"/>
        <v>42063</v>
      </c>
      <c r="B61" s="296">
        <f>SUM('Notes - Feb15'!D8:D11)</f>
        <v>201254.86</v>
      </c>
      <c r="C61" s="296">
        <f>SUM('Notes - Feb15'!E8:E11)</f>
        <v>46374.78</v>
      </c>
      <c r="D61" s="296">
        <f>SUM('Notes - Feb15'!F8:F11)</f>
        <v>817826.27</v>
      </c>
      <c r="E61" s="428"/>
      <c r="F61" s="295">
        <f t="shared" si="1"/>
        <v>42063</v>
      </c>
      <c r="G61" s="296">
        <f t="shared" si="40"/>
        <v>201254.86</v>
      </c>
      <c r="H61" s="296">
        <f t="shared" si="41"/>
        <v>142566.74</v>
      </c>
      <c r="I61" s="327">
        <f t="shared" si="44"/>
        <v>0.2916109454449945</v>
      </c>
      <c r="K61" s="295">
        <f t="shared" si="5"/>
        <v>42063</v>
      </c>
      <c r="L61" s="296">
        <f t="shared" si="42"/>
        <v>864201.05</v>
      </c>
      <c r="M61" s="296">
        <f t="shared" si="43"/>
        <v>748396.69</v>
      </c>
      <c r="N61" s="297">
        <f t="shared" ref="N61:N66" si="45">(L61-M61)/L61</f>
        <v>0.13400164232616946</v>
      </c>
      <c r="P61" s="437">
        <f t="shared" si="19"/>
        <v>53618.329999999958</v>
      </c>
      <c r="Q61" s="437"/>
      <c r="R61" s="428"/>
    </row>
    <row r="62" spans="1:18" x14ac:dyDescent="0.2">
      <c r="A62" s="295">
        <f t="shared" si="0"/>
        <v>42094</v>
      </c>
      <c r="B62" s="296">
        <f>SUM('Notes - Mar15'!D8:D11)</f>
        <v>115016.35999999999</v>
      </c>
      <c r="C62" s="296">
        <f>SUM('Notes - Mar15'!E8:E11)</f>
        <v>142566.74</v>
      </c>
      <c r="D62" s="296">
        <f>SUM('Notes - Mar15'!F8:F11)</f>
        <v>748396.69</v>
      </c>
      <c r="E62" s="428"/>
      <c r="F62" s="295">
        <f t="shared" si="1"/>
        <v>42094</v>
      </c>
      <c r="G62" s="296">
        <f t="shared" si="40"/>
        <v>115016.35999999999</v>
      </c>
      <c r="H62" s="296">
        <f t="shared" si="41"/>
        <v>93563.049999999988</v>
      </c>
      <c r="I62" s="327">
        <f t="shared" si="44"/>
        <v>0.18652398667459133</v>
      </c>
      <c r="K62" s="295">
        <f t="shared" si="5"/>
        <v>42094</v>
      </c>
      <c r="L62" s="296">
        <f t="shared" si="42"/>
        <v>890963.42999999993</v>
      </c>
      <c r="M62" s="296">
        <f t="shared" si="43"/>
        <v>787597.28999999992</v>
      </c>
      <c r="N62" s="297">
        <f t="shared" si="45"/>
        <v>0.11601614221135879</v>
      </c>
      <c r="P62" s="435">
        <f t="shared" si="19"/>
        <v>-59476.119999999995</v>
      </c>
      <c r="Q62" s="435"/>
      <c r="R62" s="428"/>
    </row>
    <row r="63" spans="1:18" x14ac:dyDescent="0.2">
      <c r="A63" s="295">
        <f t="shared" si="0"/>
        <v>42124</v>
      </c>
      <c r="B63" s="296">
        <f>SUM('Notes - Apr15'!D8:D11)</f>
        <v>69578.31</v>
      </c>
      <c r="C63" s="296">
        <f>SUM('Notes - Apr15'!E8:E11)</f>
        <v>93563.049999999988</v>
      </c>
      <c r="D63" s="296">
        <f>SUM('Notes - Apr15'!F8:F11)</f>
        <v>787597.28999999992</v>
      </c>
      <c r="E63" s="428"/>
      <c r="F63" s="295">
        <f t="shared" si="1"/>
        <v>42124</v>
      </c>
      <c r="G63" s="296">
        <f t="shared" si="40"/>
        <v>69578.31</v>
      </c>
      <c r="H63" s="296">
        <f t="shared" si="41"/>
        <v>52044.7</v>
      </c>
      <c r="I63" s="327">
        <f t="shared" si="44"/>
        <v>0.25199821611073914</v>
      </c>
      <c r="K63" s="295">
        <f t="shared" si="5"/>
        <v>42124</v>
      </c>
      <c r="L63" s="296">
        <f t="shared" si="42"/>
        <v>881160.33999999985</v>
      </c>
      <c r="M63" s="296">
        <f t="shared" si="43"/>
        <v>782433.25</v>
      </c>
      <c r="N63" s="297">
        <f t="shared" si="45"/>
        <v>0.11204213979943749</v>
      </c>
      <c r="P63" s="436">
        <f t="shared" si="19"/>
        <v>-55241.140000000014</v>
      </c>
      <c r="Q63" s="436"/>
      <c r="R63" s="428"/>
    </row>
    <row r="64" spans="1:18" x14ac:dyDescent="0.2">
      <c r="A64" s="295">
        <f t="shared" si="0"/>
        <v>42155</v>
      </c>
      <c r="B64" s="296">
        <f>SUM('Notes - May15'!D8:D11)</f>
        <v>190205.85</v>
      </c>
      <c r="C64" s="296">
        <f>SUM('Notes - May15'!E8:E11)</f>
        <v>52044.7</v>
      </c>
      <c r="D64" s="296">
        <f>SUM('Notes - May15'!F8:F11)</f>
        <v>782433.25</v>
      </c>
      <c r="E64" s="428"/>
      <c r="F64" s="295">
        <f t="shared" si="1"/>
        <v>42155</v>
      </c>
      <c r="G64" s="296">
        <f t="shared" ref="G64:G69" si="46">B64</f>
        <v>190205.85</v>
      </c>
      <c r="H64" s="296">
        <f t="shared" ref="H64:H69" si="47">C65</f>
        <v>51770.319999999992</v>
      </c>
      <c r="I64" s="327">
        <f t="shared" si="44"/>
        <v>0.72781951764364783</v>
      </c>
      <c r="K64" s="295">
        <f t="shared" si="5"/>
        <v>42155</v>
      </c>
      <c r="L64" s="296">
        <f t="shared" si="42"/>
        <v>834477.95</v>
      </c>
      <c r="M64" s="296">
        <f t="shared" si="43"/>
        <v>777525.57000000007</v>
      </c>
      <c r="N64" s="297">
        <f t="shared" si="45"/>
        <v>6.8249113113174401E-2</v>
      </c>
      <c r="P64" s="437">
        <f t="shared" si="19"/>
        <v>73945.15000000014</v>
      </c>
      <c r="Q64" s="437"/>
      <c r="R64" s="428"/>
    </row>
    <row r="65" spans="1:18" x14ac:dyDescent="0.2">
      <c r="A65" s="295">
        <f t="shared" si="0"/>
        <v>42185</v>
      </c>
      <c r="B65" s="296">
        <f>SUM('Notes - Jun15'!D8:D11)</f>
        <v>140490.57999999999</v>
      </c>
      <c r="C65" s="296">
        <f>SUM('Notes - May15'!E9:E12)</f>
        <v>51770.319999999992</v>
      </c>
      <c r="D65" s="296">
        <f>SUM('Notes - May15'!F9:F12)</f>
        <v>777525.57000000007</v>
      </c>
      <c r="E65" s="428"/>
      <c r="F65" s="295">
        <f t="shared" si="1"/>
        <v>42185</v>
      </c>
      <c r="G65" s="296">
        <f t="shared" si="46"/>
        <v>140490.57999999999</v>
      </c>
      <c r="H65" s="296">
        <f t="shared" si="47"/>
        <v>106214.93000000001</v>
      </c>
      <c r="I65" s="327">
        <f t="shared" si="44"/>
        <v>0.24397116162521346</v>
      </c>
      <c r="K65" s="295">
        <f t="shared" si="5"/>
        <v>42185</v>
      </c>
      <c r="L65" s="296">
        <f t="shared" ref="L65:L70" si="48">SUM(C65:D65)</f>
        <v>829295.89</v>
      </c>
      <c r="M65" s="296">
        <f t="shared" ref="M65:M70" si="49">D66</f>
        <v>769173.16</v>
      </c>
      <c r="N65" s="297">
        <f t="shared" si="45"/>
        <v>7.2498526430656712E-2</v>
      </c>
      <c r="P65" s="435">
        <f t="shared" si="19"/>
        <v>-54897.330000000075</v>
      </c>
      <c r="Q65" s="435"/>
      <c r="R65" s="428"/>
    </row>
    <row r="66" spans="1:18" x14ac:dyDescent="0.2">
      <c r="A66" s="295">
        <f t="shared" si="0"/>
        <v>42216</v>
      </c>
      <c r="B66" s="296">
        <f>SUM('Notes - Jul15'!D8:D11)</f>
        <v>74043.199999999997</v>
      </c>
      <c r="C66" s="296">
        <f>SUM('Notes - Jul15'!E8:E11)</f>
        <v>106214.93000000001</v>
      </c>
      <c r="D66" s="296">
        <f>SUM('Notes - Jul15'!F8:F11)</f>
        <v>769173.16</v>
      </c>
      <c r="E66" s="428"/>
      <c r="F66" s="295">
        <f t="shared" si="1"/>
        <v>42216</v>
      </c>
      <c r="G66" s="296">
        <f t="shared" si="46"/>
        <v>74043.199999999997</v>
      </c>
      <c r="H66" s="296">
        <f t="shared" si="47"/>
        <v>56195.75</v>
      </c>
      <c r="I66" s="327">
        <f t="shared" ref="I66:I71" si="50">(G66-H66)/G66</f>
        <v>0.24104104090584952</v>
      </c>
      <c r="K66" s="295">
        <f t="shared" si="5"/>
        <v>42216</v>
      </c>
      <c r="L66" s="296">
        <f t="shared" si="48"/>
        <v>875388.09000000008</v>
      </c>
      <c r="M66" s="296">
        <f t="shared" si="49"/>
        <v>768111.91</v>
      </c>
      <c r="N66" s="297">
        <f t="shared" si="45"/>
        <v>0.12254699512761254</v>
      </c>
      <c r="P66" s="436">
        <f t="shared" si="19"/>
        <v>-20355.179999999935</v>
      </c>
      <c r="Q66" s="436"/>
      <c r="R66" s="428"/>
    </row>
    <row r="67" spans="1:18" x14ac:dyDescent="0.2">
      <c r="A67" s="295">
        <f t="shared" si="0"/>
        <v>42247</v>
      </c>
      <c r="B67" s="296">
        <f>SUM('Notes - Aug15'!D8:D11)</f>
        <v>174766.65000000002</v>
      </c>
      <c r="C67" s="296">
        <f>SUM('Notes - Aug15'!E8:E11)</f>
        <v>56195.75</v>
      </c>
      <c r="D67" s="296">
        <f>SUM('Notes - Aug15'!F8:F11)</f>
        <v>768111.91</v>
      </c>
      <c r="E67" s="428"/>
      <c r="F67" s="295">
        <f t="shared" si="1"/>
        <v>42247</v>
      </c>
      <c r="G67" s="296">
        <f t="shared" si="46"/>
        <v>174766.65000000002</v>
      </c>
      <c r="H67" s="296">
        <f t="shared" si="47"/>
        <v>114439.25</v>
      </c>
      <c r="I67" s="327">
        <f t="shared" si="50"/>
        <v>0.34518828392030182</v>
      </c>
      <c r="K67" s="295">
        <f t="shared" si="5"/>
        <v>42247</v>
      </c>
      <c r="L67" s="296">
        <f t="shared" si="48"/>
        <v>824307.66</v>
      </c>
      <c r="M67" s="296">
        <f t="shared" si="49"/>
        <v>734001.23</v>
      </c>
      <c r="N67" s="297">
        <f t="shared" ref="N67:N72" si="51">(L67-M67)/L67</f>
        <v>0.10955427734348611</v>
      </c>
      <c r="P67" s="437">
        <f t="shared" si="19"/>
        <v>49643.020000000019</v>
      </c>
      <c r="Q67" s="437"/>
      <c r="R67" s="428"/>
    </row>
    <row r="68" spans="1:18" x14ac:dyDescent="0.2">
      <c r="A68" s="295">
        <f t="shared" si="0"/>
        <v>42277</v>
      </c>
      <c r="B68" s="296">
        <f>SUM('Notes - Sep15'!D8:D11)</f>
        <v>97207.62999999999</v>
      </c>
      <c r="C68" s="296">
        <f>SUM('Notes - Sep15'!E8:E11)</f>
        <v>114439.25</v>
      </c>
      <c r="D68" s="296">
        <f>SUM('Notes - Sep15'!F8:F11)</f>
        <v>734001.23</v>
      </c>
      <c r="F68" s="295">
        <f t="shared" si="1"/>
        <v>42277</v>
      </c>
      <c r="G68" s="296">
        <f t="shared" si="46"/>
        <v>97207.62999999999</v>
      </c>
      <c r="H68" s="296">
        <f t="shared" si="47"/>
        <v>78341.16</v>
      </c>
      <c r="I68" s="327">
        <f t="shared" si="50"/>
        <v>0.19408425038240298</v>
      </c>
      <c r="K68" s="295">
        <f t="shared" si="5"/>
        <v>42277</v>
      </c>
      <c r="L68" s="296">
        <f t="shared" si="48"/>
        <v>848440.48</v>
      </c>
      <c r="M68" s="296">
        <f t="shared" si="49"/>
        <v>778651.84000000008</v>
      </c>
      <c r="N68" s="297">
        <f t="shared" si="51"/>
        <v>8.2255198384687991E-2</v>
      </c>
      <c r="P68" s="435">
        <f t="shared" si="19"/>
        <v>-53426.20000000007</v>
      </c>
      <c r="Q68" s="435"/>
      <c r="R68" s="428"/>
    </row>
    <row r="69" spans="1:18" x14ac:dyDescent="0.2">
      <c r="A69" s="295">
        <f t="shared" si="0"/>
        <v>42308</v>
      </c>
      <c r="B69" s="296">
        <f>SUM('Notes - Oct15'!D8:D11)</f>
        <v>49409.229999999996</v>
      </c>
      <c r="C69" s="296">
        <f>SUM('Notes - Oct15'!E8:E11)</f>
        <v>78341.16</v>
      </c>
      <c r="D69" s="296">
        <f>SUM('Notes - Oct15'!F8:F11)</f>
        <v>778651.84000000008</v>
      </c>
      <c r="F69" s="295">
        <f t="shared" si="1"/>
        <v>42308</v>
      </c>
      <c r="G69" s="296">
        <f t="shared" si="46"/>
        <v>49409.229999999996</v>
      </c>
      <c r="H69" s="296">
        <f t="shared" si="47"/>
        <v>39769.939999999995</v>
      </c>
      <c r="I69" s="327">
        <f t="shared" si="50"/>
        <v>0.19509087674509401</v>
      </c>
      <c r="K69" s="295">
        <f t="shared" si="5"/>
        <v>42308</v>
      </c>
      <c r="L69" s="296">
        <f t="shared" si="48"/>
        <v>856993.00000000012</v>
      </c>
      <c r="M69" s="296">
        <f t="shared" si="49"/>
        <v>795796.60999999987</v>
      </c>
      <c r="N69" s="297">
        <f t="shared" si="51"/>
        <v>7.1408272879708745E-2</v>
      </c>
      <c r="P69" s="436">
        <f t="shared" ref="P69:P74" si="52">SUM(B69:D69)-SUM(B68:D68)</f>
        <v>-39245.879999999888</v>
      </c>
      <c r="Q69" s="436"/>
      <c r="R69" s="428"/>
    </row>
    <row r="70" spans="1:18" x14ac:dyDescent="0.2">
      <c r="A70" s="295">
        <f t="shared" si="0"/>
        <v>42338</v>
      </c>
      <c r="B70" s="296">
        <f>SUM('Notes - Nov15'!D8:D11)</f>
        <v>157829.46</v>
      </c>
      <c r="C70" s="296">
        <f>SUM('Notes - Nov15'!E8:E11)</f>
        <v>39769.939999999995</v>
      </c>
      <c r="D70" s="296">
        <f>SUM('Notes - Nov15'!F8:F11)</f>
        <v>795796.60999999987</v>
      </c>
      <c r="F70" s="295">
        <f t="shared" si="1"/>
        <v>42338</v>
      </c>
      <c r="G70" s="296">
        <f t="shared" ref="G70:G75" si="53">B70</f>
        <v>157829.46</v>
      </c>
      <c r="H70" s="296">
        <f t="shared" ref="H70:H75" si="54">C71</f>
        <v>121303.15999999999</v>
      </c>
      <c r="I70" s="327">
        <f t="shared" si="50"/>
        <v>0.23142891067358404</v>
      </c>
      <c r="K70" s="295">
        <f t="shared" si="5"/>
        <v>42338</v>
      </c>
      <c r="L70" s="296">
        <f t="shared" si="48"/>
        <v>835566.54999999981</v>
      </c>
      <c r="M70" s="296">
        <f t="shared" si="49"/>
        <v>766936.79999999993</v>
      </c>
      <c r="N70" s="297">
        <f t="shared" si="51"/>
        <v>8.2135588122813075E-2</v>
      </c>
      <c r="P70" s="437">
        <f t="shared" si="52"/>
        <v>86993.779999999795</v>
      </c>
      <c r="Q70" s="437"/>
      <c r="R70" s="428"/>
    </row>
    <row r="71" spans="1:18" x14ac:dyDescent="0.2">
      <c r="A71" s="295">
        <f t="shared" si="0"/>
        <v>42369</v>
      </c>
      <c r="B71" s="296">
        <f>SUM('Notes - Dec15'!D8:D11)</f>
        <v>73685.36</v>
      </c>
      <c r="C71" s="296">
        <f>SUM('Notes - Dec15'!E8:E11)</f>
        <v>121303.15999999999</v>
      </c>
      <c r="D71" s="296">
        <f>SUM('Notes - Dec15'!F8:F11)</f>
        <v>766936.79999999993</v>
      </c>
      <c r="F71" s="295">
        <f t="shared" si="1"/>
        <v>42369</v>
      </c>
      <c r="G71" s="296">
        <f t="shared" si="53"/>
        <v>73685.36</v>
      </c>
      <c r="H71" s="296">
        <f t="shared" si="54"/>
        <v>63623.53</v>
      </c>
      <c r="I71" s="327">
        <f t="shared" si="50"/>
        <v>0.13655127694293687</v>
      </c>
      <c r="K71" s="295">
        <f t="shared" si="5"/>
        <v>42369</v>
      </c>
      <c r="L71" s="296">
        <f t="shared" ref="L71:L76" si="55">SUM(C71:D71)</f>
        <v>888239.96</v>
      </c>
      <c r="M71" s="296">
        <f t="shared" ref="M71:M76" si="56">D72</f>
        <v>825100.13000000012</v>
      </c>
      <c r="N71" s="297">
        <f t="shared" si="51"/>
        <v>7.1084203417283595E-2</v>
      </c>
      <c r="P71" s="435">
        <f t="shared" si="52"/>
        <v>-31470.689999999944</v>
      </c>
      <c r="Q71" s="435"/>
      <c r="R71" s="428"/>
    </row>
    <row r="72" spans="1:18" x14ac:dyDescent="0.2">
      <c r="A72" s="295">
        <f t="shared" si="0"/>
        <v>42400</v>
      </c>
      <c r="B72" s="296">
        <f>SUM('Notes - Jan16'!D8:D11)</f>
        <v>80409.26999999999</v>
      </c>
      <c r="C72" s="296">
        <f>SUM('Notes - Jan16'!E8:E11)</f>
        <v>63623.53</v>
      </c>
      <c r="D72" s="296">
        <f>SUM('Notes - Jan16'!F8:F11)</f>
        <v>825100.13000000012</v>
      </c>
      <c r="F72" s="295">
        <f t="shared" si="1"/>
        <v>42400</v>
      </c>
      <c r="G72" s="296">
        <f t="shared" si="53"/>
        <v>80409.26999999999</v>
      </c>
      <c r="H72" s="296">
        <f t="shared" si="54"/>
        <v>52758.780000000006</v>
      </c>
      <c r="I72" s="327">
        <f t="shared" ref="I72:I77" si="57">(G72-H72)/G72</f>
        <v>0.34387191924513166</v>
      </c>
      <c r="K72" s="295">
        <f t="shared" si="5"/>
        <v>42400</v>
      </c>
      <c r="L72" s="296">
        <f t="shared" si="55"/>
        <v>888723.66000000015</v>
      </c>
      <c r="M72" s="296">
        <f t="shared" si="56"/>
        <v>800080.16</v>
      </c>
      <c r="N72" s="297">
        <f t="shared" si="51"/>
        <v>9.9742477881144861E-2</v>
      </c>
      <c r="P72" s="436">
        <f t="shared" si="52"/>
        <v>7207.6100000002189</v>
      </c>
      <c r="Q72" s="436"/>
      <c r="R72" s="428"/>
    </row>
    <row r="73" spans="1:18" x14ac:dyDescent="0.2">
      <c r="A73" s="295">
        <f t="shared" si="0"/>
        <v>42429</v>
      </c>
      <c r="B73" s="296">
        <f>SUM('Notes - Feb16'!D8:D11)</f>
        <v>141054.5</v>
      </c>
      <c r="C73" s="296">
        <f>SUM('Notes - Feb16'!E8:E11)</f>
        <v>52758.780000000006</v>
      </c>
      <c r="D73" s="296">
        <f>SUM('Notes - Feb16'!F8:F11)</f>
        <v>800080.16</v>
      </c>
      <c r="F73" s="295">
        <f t="shared" si="1"/>
        <v>42429</v>
      </c>
      <c r="G73" s="296">
        <f t="shared" si="53"/>
        <v>141054.5</v>
      </c>
      <c r="H73" s="296">
        <f t="shared" si="54"/>
        <v>122194.9</v>
      </c>
      <c r="I73" s="327">
        <f t="shared" si="57"/>
        <v>0.1337043483192667</v>
      </c>
      <c r="K73" s="295">
        <f t="shared" si="5"/>
        <v>42429</v>
      </c>
      <c r="L73" s="296">
        <f t="shared" si="55"/>
        <v>852838.94000000006</v>
      </c>
      <c r="M73" s="296">
        <f t="shared" si="56"/>
        <v>757440.28999999992</v>
      </c>
      <c r="N73" s="297">
        <f t="shared" ref="N73:N78" si="58">(L73-M73)/L73</f>
        <v>0.11186010104088367</v>
      </c>
      <c r="P73" s="437">
        <f t="shared" si="52"/>
        <v>24760.509999999893</v>
      </c>
      <c r="Q73" s="437"/>
      <c r="R73" s="428"/>
    </row>
    <row r="74" spans="1:18" x14ac:dyDescent="0.2">
      <c r="A74" s="295">
        <f t="shared" si="0"/>
        <v>42460</v>
      </c>
      <c r="B74" s="296">
        <f>SUM('Notes - Mar16'!D8:D11)</f>
        <v>73764.349999999991</v>
      </c>
      <c r="C74" s="296">
        <f>SUM('Notes - Mar16'!E8:E11)</f>
        <v>122194.9</v>
      </c>
      <c r="D74" s="296">
        <f>SUM('Notes - Mar16'!F8:F11)</f>
        <v>757440.28999999992</v>
      </c>
      <c r="F74" s="295">
        <f t="shared" si="1"/>
        <v>42460</v>
      </c>
      <c r="G74" s="296">
        <f t="shared" si="53"/>
        <v>73764.349999999991</v>
      </c>
      <c r="H74" s="296">
        <f t="shared" si="54"/>
        <v>61501.229999999996</v>
      </c>
      <c r="I74" s="327">
        <f t="shared" si="57"/>
        <v>0.16624724545122402</v>
      </c>
      <c r="K74" s="295">
        <f t="shared" si="5"/>
        <v>42460</v>
      </c>
      <c r="L74" s="296">
        <f t="shared" si="55"/>
        <v>879635.19</v>
      </c>
      <c r="M74" s="296">
        <f t="shared" si="56"/>
        <v>808149.63</v>
      </c>
      <c r="N74" s="297">
        <f t="shared" si="58"/>
        <v>8.1267280814447576E-2</v>
      </c>
      <c r="P74" s="435">
        <f t="shared" si="52"/>
        <v>-40493.90000000014</v>
      </c>
      <c r="Q74" s="435"/>
      <c r="R74" s="428"/>
    </row>
    <row r="75" spans="1:18" x14ac:dyDescent="0.2">
      <c r="A75" s="295">
        <f t="shared" si="0"/>
        <v>42490</v>
      </c>
      <c r="B75" s="296">
        <f>SUM('Notes - Apr16'!D8:D11)</f>
        <v>76653.45</v>
      </c>
      <c r="C75" s="296">
        <f>SUM('Notes - Apr16'!E8:E11)</f>
        <v>61501.229999999996</v>
      </c>
      <c r="D75" s="296">
        <f>SUM('Notes - Apr16'!F8:F11)</f>
        <v>808149.63</v>
      </c>
      <c r="F75" s="295">
        <f t="shared" si="1"/>
        <v>42490</v>
      </c>
      <c r="G75" s="296">
        <f t="shared" si="53"/>
        <v>76653.45</v>
      </c>
      <c r="H75" s="296">
        <f t="shared" si="54"/>
        <v>67910.34</v>
      </c>
      <c r="I75" s="327">
        <f t="shared" si="57"/>
        <v>0.11406022820890646</v>
      </c>
      <c r="K75" s="295">
        <f t="shared" si="5"/>
        <v>42490</v>
      </c>
      <c r="L75" s="296">
        <f t="shared" si="55"/>
        <v>869650.86</v>
      </c>
      <c r="M75" s="296">
        <f t="shared" si="56"/>
        <v>794477.90999999992</v>
      </c>
      <c r="N75" s="297">
        <f t="shared" si="58"/>
        <v>8.6440379073505505E-2</v>
      </c>
      <c r="P75" s="436">
        <f t="shared" ref="P75:P81" si="59">SUM(B75:D75)-SUM(B74:D74)</f>
        <v>-7095.229999999865</v>
      </c>
      <c r="Q75" s="436"/>
      <c r="R75" s="428"/>
    </row>
    <row r="76" spans="1:18" x14ac:dyDescent="0.2">
      <c r="A76" s="295">
        <f t="shared" si="0"/>
        <v>42521</v>
      </c>
      <c r="B76" s="296">
        <f>SUM('Notes - May16'!D8:D11)</f>
        <v>195420.01</v>
      </c>
      <c r="C76" s="296">
        <f>SUM('Notes - May16'!E8:E11)</f>
        <v>67910.34</v>
      </c>
      <c r="D76" s="296">
        <f>SUM('Notes - May16'!F8:F11)</f>
        <v>794477.90999999992</v>
      </c>
      <c r="F76" s="295">
        <f t="shared" si="1"/>
        <v>42521</v>
      </c>
      <c r="G76" s="296">
        <f t="shared" ref="G76:G81" si="60">B76</f>
        <v>195420.01</v>
      </c>
      <c r="H76" s="296">
        <f t="shared" ref="H76:H81" si="61">C77</f>
        <v>157566.20000000001</v>
      </c>
      <c r="I76" s="327">
        <f t="shared" si="57"/>
        <v>0.19370488211519382</v>
      </c>
      <c r="K76" s="295">
        <f t="shared" si="5"/>
        <v>42521</v>
      </c>
      <c r="L76" s="296">
        <f t="shared" si="55"/>
        <v>862388.24999999988</v>
      </c>
      <c r="M76" s="296">
        <f t="shared" si="56"/>
        <v>769901.24000000011</v>
      </c>
      <c r="N76" s="297">
        <f t="shared" si="58"/>
        <v>0.1072452111911309</v>
      </c>
      <c r="P76" s="437">
        <f t="shared" si="59"/>
        <v>111503.94999999972</v>
      </c>
      <c r="Q76" s="437"/>
      <c r="R76" s="428"/>
    </row>
    <row r="77" spans="1:18" x14ac:dyDescent="0.2">
      <c r="A77" s="295">
        <f t="shared" si="0"/>
        <v>42551</v>
      </c>
      <c r="B77" s="296">
        <f>SUM('Notes - Jun16'!D8:D11)</f>
        <v>103110</v>
      </c>
      <c r="C77" s="296">
        <f>SUM('Notes - Jun16'!E8:E11)</f>
        <v>157566.20000000001</v>
      </c>
      <c r="D77" s="296">
        <f>SUM('Notes - Jun16'!F8:F11)</f>
        <v>769901.24000000011</v>
      </c>
      <c r="F77" s="295">
        <f t="shared" si="1"/>
        <v>42551</v>
      </c>
      <c r="G77" s="296">
        <f t="shared" si="60"/>
        <v>103110</v>
      </c>
      <c r="H77" s="296">
        <f t="shared" si="61"/>
        <v>80302.31</v>
      </c>
      <c r="I77" s="327">
        <f t="shared" si="57"/>
        <v>0.22119765299195038</v>
      </c>
      <c r="K77" s="295">
        <f t="shared" si="5"/>
        <v>42551</v>
      </c>
      <c r="L77" s="296">
        <f t="shared" ref="L77:L82" si="62">SUM(C77:D77)</f>
        <v>927467.44000000018</v>
      </c>
      <c r="M77" s="296">
        <f t="shared" ref="M77:M83" si="63">D78</f>
        <v>768405.32</v>
      </c>
      <c r="N77" s="297">
        <f t="shared" si="58"/>
        <v>0.17150156775314959</v>
      </c>
      <c r="P77" s="435">
        <f t="shared" si="59"/>
        <v>-27230.8199999996</v>
      </c>
      <c r="Q77" s="435"/>
      <c r="R77" s="428"/>
    </row>
    <row r="78" spans="1:18" x14ac:dyDescent="0.2">
      <c r="A78" s="295">
        <f t="shared" si="0"/>
        <v>42582</v>
      </c>
      <c r="B78" s="296">
        <f>SUM('Notes - Jul16'!D8:D11)</f>
        <v>79253.13</v>
      </c>
      <c r="C78" s="296">
        <f>SUM('Notes - Jul16'!E8:E11)</f>
        <v>80302.31</v>
      </c>
      <c r="D78" s="296">
        <f>SUM('Notes - Jul16'!F8:F11)</f>
        <v>768405.32</v>
      </c>
      <c r="F78" s="295">
        <f t="shared" si="1"/>
        <v>42582</v>
      </c>
      <c r="G78" s="296">
        <f t="shared" si="60"/>
        <v>79253.13</v>
      </c>
      <c r="H78" s="296">
        <f t="shared" si="61"/>
        <v>54894.520000000004</v>
      </c>
      <c r="I78" s="327">
        <f t="shared" ref="I78:I87" si="64">(G78-H78)/G78</f>
        <v>0.30735202508721104</v>
      </c>
      <c r="K78" s="295">
        <f t="shared" si="5"/>
        <v>42582</v>
      </c>
      <c r="L78" s="296">
        <f t="shared" si="62"/>
        <v>848707.62999999989</v>
      </c>
      <c r="M78" s="296">
        <f t="shared" si="63"/>
        <v>735590.28</v>
      </c>
      <c r="N78" s="297">
        <f t="shared" si="58"/>
        <v>0.13328188177122891</v>
      </c>
      <c r="P78" s="436">
        <f t="shared" si="59"/>
        <v>-102616.68000000017</v>
      </c>
      <c r="Q78" s="436"/>
      <c r="R78" s="428"/>
    </row>
    <row r="79" spans="1:18" x14ac:dyDescent="0.2">
      <c r="A79" s="295">
        <f t="shared" si="0"/>
        <v>42613</v>
      </c>
      <c r="B79" s="296">
        <f>SUM('Notes - Aug16'!D8:D11)</f>
        <v>135897.46</v>
      </c>
      <c r="C79" s="296">
        <f>SUM('Notes - Aug16'!E8:E11)</f>
        <v>54894.520000000004</v>
      </c>
      <c r="D79" s="296">
        <f>SUM('Notes - Aug16'!F8:F11)</f>
        <v>735590.28</v>
      </c>
      <c r="F79" s="295">
        <f t="shared" si="1"/>
        <v>42613</v>
      </c>
      <c r="G79" s="296">
        <f t="shared" si="60"/>
        <v>135897.46</v>
      </c>
      <c r="H79" s="296">
        <f t="shared" si="61"/>
        <v>101727.64</v>
      </c>
      <c r="I79" s="327">
        <f t="shared" si="64"/>
        <v>0.25143825351849841</v>
      </c>
      <c r="K79" s="295">
        <f t="shared" si="5"/>
        <v>42613</v>
      </c>
      <c r="L79" s="296">
        <f t="shared" si="62"/>
        <v>790484.8</v>
      </c>
      <c r="M79" s="296">
        <f t="shared" si="63"/>
        <v>722156.22</v>
      </c>
      <c r="N79" s="297">
        <f t="shared" ref="N79:N87" si="65">(L79-M79)/L79</f>
        <v>8.6438828425290493E-2</v>
      </c>
      <c r="P79" s="437">
        <f t="shared" si="59"/>
        <v>-1578.5</v>
      </c>
      <c r="Q79" s="437"/>
      <c r="R79" s="428"/>
    </row>
    <row r="80" spans="1:18" x14ac:dyDescent="0.2">
      <c r="A80" s="295">
        <f t="shared" si="0"/>
        <v>42643</v>
      </c>
      <c r="B80" s="296">
        <f>SUM('Notes - Sep16'!D8:D11)</f>
        <v>74858.62999999999</v>
      </c>
      <c r="C80" s="296">
        <f>SUM('Notes - Sep16'!E8:E11)</f>
        <v>101727.64</v>
      </c>
      <c r="D80" s="296">
        <f>SUM('Notes - Sep16'!F8:F11)</f>
        <v>722156.22</v>
      </c>
      <c r="F80" s="295">
        <f t="shared" si="1"/>
        <v>42643</v>
      </c>
      <c r="G80" s="296">
        <f t="shared" si="60"/>
        <v>74858.62999999999</v>
      </c>
      <c r="H80" s="296">
        <f t="shared" si="61"/>
        <v>64917.440000000002</v>
      </c>
      <c r="I80" s="327">
        <f t="shared" si="64"/>
        <v>0.13279951823857836</v>
      </c>
      <c r="K80" s="295">
        <f t="shared" si="5"/>
        <v>42643</v>
      </c>
      <c r="L80" s="296">
        <f t="shared" si="62"/>
        <v>823883.86</v>
      </c>
      <c r="M80" s="296">
        <f t="shared" si="63"/>
        <v>759616.75</v>
      </c>
      <c r="N80" s="297">
        <f t="shared" si="65"/>
        <v>7.8005060082133412E-2</v>
      </c>
      <c r="P80" s="435">
        <f t="shared" si="59"/>
        <v>-27639.770000000019</v>
      </c>
      <c r="Q80" s="435">
        <f>ROUND(AVERAGE(P5,P8,P11,P14,P17,P20,P23,P26,P29,P32,P35,P38,P41,P44,P47,P50,P53,P56,P59,P62,P65,P68,P71,P74,P77,P80),-3)</f>
        <v>-21000</v>
      </c>
      <c r="R80" s="428"/>
    </row>
    <row r="81" spans="1:17" x14ac:dyDescent="0.2">
      <c r="A81" s="295">
        <f t="shared" si="0"/>
        <v>42674</v>
      </c>
      <c r="B81" s="296">
        <f>SUM('Notes - Oct16'!D8:D11)</f>
        <v>76086.84</v>
      </c>
      <c r="C81" s="296">
        <f>SUM('Notes - Oct16'!E8:E11)</f>
        <v>64917.440000000002</v>
      </c>
      <c r="D81" s="296">
        <f>SUM('Notes - Oct16'!F8:F11)</f>
        <v>759616.75</v>
      </c>
      <c r="F81" s="295">
        <f t="shared" si="1"/>
        <v>42674</v>
      </c>
      <c r="G81" s="296">
        <f t="shared" si="60"/>
        <v>76086.84</v>
      </c>
      <c r="H81" s="296">
        <f t="shared" si="61"/>
        <v>50512.19</v>
      </c>
      <c r="I81" s="327">
        <f t="shared" si="64"/>
        <v>0.33612448617921303</v>
      </c>
      <c r="K81" s="295">
        <f t="shared" si="5"/>
        <v>42674</v>
      </c>
      <c r="L81" s="296">
        <f t="shared" si="62"/>
        <v>824534.19</v>
      </c>
      <c r="M81" s="296">
        <f t="shared" si="63"/>
        <v>763331.48</v>
      </c>
      <c r="N81" s="297">
        <f t="shared" si="65"/>
        <v>7.42270129513974E-2</v>
      </c>
      <c r="P81" s="436">
        <f t="shared" si="59"/>
        <v>1878.5400000000373</v>
      </c>
      <c r="Q81" s="436">
        <f t="shared" ref="Q81:Q87" si="66">ROUND(AVERAGE(P3,P6,P9,P12,P15,P18,P21,P24,P27,P30,P33,P36,P39,P42,P45,P48,P51,P54,P57,P60,P63,P66,P69,P72,P75,P78,P81),-3)</f>
        <v>-46000</v>
      </c>
    </row>
    <row r="82" spans="1:17" x14ac:dyDescent="0.2">
      <c r="A82" s="295">
        <f t="shared" si="0"/>
        <v>42704</v>
      </c>
      <c r="B82" s="296">
        <f>SUM('Notes - Nov16'!D8:D11)</f>
        <v>143343.95000000001</v>
      </c>
      <c r="C82" s="296">
        <f>SUM('Notes - Nov16'!E8:E11)</f>
        <v>50512.19</v>
      </c>
      <c r="D82" s="296">
        <f>SUM('Notes - Nov16'!F8:F11)</f>
        <v>763331.48</v>
      </c>
      <c r="F82" s="295">
        <f t="shared" si="1"/>
        <v>42704</v>
      </c>
      <c r="G82" s="296">
        <f t="shared" ref="G82:G88" si="67">B82</f>
        <v>143343.95000000001</v>
      </c>
      <c r="H82" s="296">
        <f t="shared" ref="H82:H87" si="68">C83</f>
        <v>110810.97</v>
      </c>
      <c r="I82" s="327">
        <f t="shared" si="64"/>
        <v>0.22695746838286518</v>
      </c>
      <c r="K82" s="295">
        <f t="shared" si="5"/>
        <v>42704</v>
      </c>
      <c r="L82" s="296">
        <f t="shared" si="62"/>
        <v>813843.66999999993</v>
      </c>
      <c r="M82" s="296">
        <f t="shared" si="63"/>
        <v>768617.57999999984</v>
      </c>
      <c r="N82" s="297">
        <f t="shared" si="65"/>
        <v>5.5570979620693108E-2</v>
      </c>
      <c r="P82" s="437">
        <f t="shared" ref="P82:P87" si="69">SUM(B82:D82)-SUM(B81:D81)</f>
        <v>56566.589999999967</v>
      </c>
      <c r="Q82" s="437">
        <f t="shared" si="66"/>
        <v>71000</v>
      </c>
    </row>
    <row r="83" spans="1:17" x14ac:dyDescent="0.2">
      <c r="A83" s="295">
        <f t="shared" si="0"/>
        <v>42735</v>
      </c>
      <c r="B83" s="296">
        <f>SUM('Notes - Dec16'!D8:D11)</f>
        <v>129729.98</v>
      </c>
      <c r="C83" s="296">
        <f>SUM('Notes - Dec16'!E8:E11)</f>
        <v>110810.97</v>
      </c>
      <c r="D83" s="296">
        <f>SUM('Notes - Dec16'!F8:F11)</f>
        <v>768617.57999999984</v>
      </c>
      <c r="F83" s="295">
        <f t="shared" si="1"/>
        <v>42735</v>
      </c>
      <c r="G83" s="296">
        <f t="shared" si="67"/>
        <v>129729.98</v>
      </c>
      <c r="H83" s="296">
        <f t="shared" si="68"/>
        <v>51510.549999999996</v>
      </c>
      <c r="I83" s="327">
        <f t="shared" si="64"/>
        <v>0.60294027641105008</v>
      </c>
      <c r="K83" s="295">
        <f t="shared" si="5"/>
        <v>42735</v>
      </c>
      <c r="L83" s="296">
        <f t="shared" ref="L83:L88" si="70">SUM(C83:D83)</f>
        <v>879428.54999999981</v>
      </c>
      <c r="M83" s="296">
        <f t="shared" si="63"/>
        <v>818580.45000000007</v>
      </c>
      <c r="N83" s="297">
        <f t="shared" si="65"/>
        <v>6.9190498761951449E-2</v>
      </c>
      <c r="P83" s="435">
        <f t="shared" si="69"/>
        <v>51970.9099999998</v>
      </c>
      <c r="Q83" s="435">
        <f t="shared" si="66"/>
        <v>-19000</v>
      </c>
    </row>
    <row r="84" spans="1:17" x14ac:dyDescent="0.2">
      <c r="A84" s="295">
        <f t="shared" si="0"/>
        <v>42766</v>
      </c>
      <c r="B84" s="296">
        <f>SUM('Notes - Jan17'!D8:D11)</f>
        <v>75937.070000000007</v>
      </c>
      <c r="C84" s="296">
        <f>SUM('Notes - Jan17'!E8:E11)</f>
        <v>51510.549999999996</v>
      </c>
      <c r="D84" s="296">
        <f>SUM('Notes - Jan17'!F8:F11)</f>
        <v>818580.45000000007</v>
      </c>
      <c r="F84" s="295">
        <f>EOMONTH(F83,1)</f>
        <v>42766</v>
      </c>
      <c r="G84" s="296">
        <f t="shared" si="67"/>
        <v>75937.070000000007</v>
      </c>
      <c r="H84" s="428">
        <f t="shared" si="68"/>
        <v>47125.18</v>
      </c>
      <c r="I84" s="297">
        <f t="shared" si="64"/>
        <v>0.37941798386479758</v>
      </c>
      <c r="K84" s="295">
        <f t="shared" si="5"/>
        <v>42766</v>
      </c>
      <c r="L84" s="296">
        <f t="shared" si="70"/>
        <v>870091.00000000012</v>
      </c>
      <c r="M84" s="428">
        <f t="shared" ref="M84:M101" si="71">D85</f>
        <v>811694.76</v>
      </c>
      <c r="N84" s="297">
        <f t="shared" si="65"/>
        <v>6.7115094857894284E-2</v>
      </c>
      <c r="P84" s="436">
        <f t="shared" si="69"/>
        <v>-63130.45999999973</v>
      </c>
      <c r="Q84" s="436">
        <f t="shared" si="66"/>
        <v>-48000</v>
      </c>
    </row>
    <row r="85" spans="1:17" x14ac:dyDescent="0.2">
      <c r="A85" s="295">
        <f t="shared" si="0"/>
        <v>42794</v>
      </c>
      <c r="B85" s="296">
        <f>SUM('Notes - Feb17 '!D8:D11)</f>
        <v>169425.2</v>
      </c>
      <c r="C85" s="296">
        <f>SUM('Notes - Feb17 '!E8:E11)</f>
        <v>47125.18</v>
      </c>
      <c r="D85" s="296">
        <f>SUM('Notes - Feb17 '!F8:F11)</f>
        <v>811694.76</v>
      </c>
      <c r="F85" s="295">
        <f t="shared" si="1"/>
        <v>42794</v>
      </c>
      <c r="G85" s="428">
        <f t="shared" si="67"/>
        <v>169425.2</v>
      </c>
      <c r="H85" s="428">
        <f t="shared" si="68"/>
        <v>122494.48</v>
      </c>
      <c r="I85" s="297">
        <f t="shared" si="64"/>
        <v>0.27699964350049466</v>
      </c>
      <c r="K85" s="295">
        <f t="shared" ref="K85:K148" si="72">EOMONTH(K84,1)</f>
        <v>42794</v>
      </c>
      <c r="L85" s="428">
        <f t="shared" si="70"/>
        <v>858819.94000000006</v>
      </c>
      <c r="M85" s="428">
        <f t="shared" si="71"/>
        <v>785250.55</v>
      </c>
      <c r="N85" s="297">
        <f t="shared" si="65"/>
        <v>8.566334638201345E-2</v>
      </c>
      <c r="P85" s="437">
        <f t="shared" si="69"/>
        <v>82217.069999999949</v>
      </c>
      <c r="Q85" s="437">
        <f t="shared" si="66"/>
        <v>70000</v>
      </c>
    </row>
    <row r="86" spans="1:17" x14ac:dyDescent="0.2">
      <c r="A86" s="295">
        <f t="shared" si="0"/>
        <v>42825</v>
      </c>
      <c r="B86" s="296">
        <f>SUM('Notes - Mar17'!D8:D11)</f>
        <v>53557.53</v>
      </c>
      <c r="C86" s="296">
        <f>SUM('Notes - Mar17'!E8:E11)</f>
        <v>122494.48</v>
      </c>
      <c r="D86" s="296">
        <f>SUM('Notes - Mar17'!F8:F11)</f>
        <v>785250.55</v>
      </c>
      <c r="F86" s="295">
        <f t="shared" si="1"/>
        <v>42825</v>
      </c>
      <c r="G86" s="428">
        <f t="shared" si="67"/>
        <v>53557.53</v>
      </c>
      <c r="H86" s="428">
        <f t="shared" si="68"/>
        <v>44799.6</v>
      </c>
      <c r="I86" s="297">
        <f t="shared" si="64"/>
        <v>0.1635237846106794</v>
      </c>
      <c r="K86" s="295">
        <f t="shared" si="72"/>
        <v>42825</v>
      </c>
      <c r="L86" s="428">
        <f>SUM(C86:D86)</f>
        <v>907745.03</v>
      </c>
      <c r="M86" s="428">
        <f t="shared" si="71"/>
        <v>841989.51</v>
      </c>
      <c r="N86" s="297">
        <f t="shared" si="65"/>
        <v>7.2438314534203532E-2</v>
      </c>
      <c r="P86" s="435">
        <f t="shared" si="69"/>
        <v>-66942.579999999958</v>
      </c>
      <c r="Q86" s="435">
        <f t="shared" si="66"/>
        <v>-19000</v>
      </c>
    </row>
    <row r="87" spans="1:17" x14ac:dyDescent="0.2">
      <c r="A87" s="295">
        <f t="shared" si="0"/>
        <v>42855</v>
      </c>
      <c r="B87" s="296">
        <f>SUM('Notes - April17'!D8:D11)</f>
        <v>58726.039999999994</v>
      </c>
      <c r="C87" s="296">
        <f>SUM('Notes - April17'!E8:E11)</f>
        <v>44799.6</v>
      </c>
      <c r="D87" s="296">
        <f>SUM('Notes - April17'!F8:F11)</f>
        <v>841989.51</v>
      </c>
      <c r="F87" s="295">
        <f t="shared" si="1"/>
        <v>42855</v>
      </c>
      <c r="G87" s="428">
        <f t="shared" si="67"/>
        <v>58726.039999999994</v>
      </c>
      <c r="H87" s="428">
        <f t="shared" si="68"/>
        <v>52412.479999999996</v>
      </c>
      <c r="I87" s="297">
        <f t="shared" si="64"/>
        <v>0.10750869631257272</v>
      </c>
      <c r="K87" s="295">
        <f t="shared" si="72"/>
        <v>42855</v>
      </c>
      <c r="L87" s="428">
        <f t="shared" si="70"/>
        <v>886789.11</v>
      </c>
      <c r="M87" s="428">
        <f t="shared" si="71"/>
        <v>800725.21</v>
      </c>
      <c r="N87" s="297">
        <f t="shared" si="65"/>
        <v>9.7051146692588533E-2</v>
      </c>
      <c r="P87" s="436">
        <f t="shared" si="69"/>
        <v>-15787.410000000033</v>
      </c>
      <c r="Q87" s="436">
        <f t="shared" si="66"/>
        <v>-48000</v>
      </c>
    </row>
    <row r="88" spans="1:17" x14ac:dyDescent="0.2">
      <c r="A88" s="295">
        <f t="shared" si="0"/>
        <v>42886</v>
      </c>
      <c r="B88" s="296">
        <f>SUM('Notes - May17'!D8:D11)</f>
        <v>206105.1</v>
      </c>
      <c r="C88" s="296">
        <f>SUM('Notes - May17'!E8:E11)</f>
        <v>52412.479999999996</v>
      </c>
      <c r="D88" s="296">
        <f>SUM('Notes - May17'!F8:F11)</f>
        <v>800725.21</v>
      </c>
      <c r="F88" s="295">
        <f t="shared" si="1"/>
        <v>42886</v>
      </c>
      <c r="G88" s="428">
        <f t="shared" si="67"/>
        <v>206105.1</v>
      </c>
      <c r="H88" s="428">
        <f t="shared" ref="H88:H102" si="73">C89</f>
        <v>135576.97999999998</v>
      </c>
      <c r="I88" s="297">
        <f t="shared" ref="I88:I111" si="74">(G88-H88)/G88</f>
        <v>0.34219492870385071</v>
      </c>
      <c r="K88" s="295">
        <f t="shared" si="72"/>
        <v>42886</v>
      </c>
      <c r="L88" s="428">
        <f t="shared" si="70"/>
        <v>853137.69</v>
      </c>
      <c r="M88" s="428">
        <f t="shared" si="71"/>
        <v>772950.66</v>
      </c>
      <c r="N88" s="297">
        <f t="shared" ref="N88:N102" si="75">(L88-M88)/L88</f>
        <v>9.3990724990710373E-2</v>
      </c>
      <c r="P88" s="437">
        <f t="shared" ref="P88:P96" si="76">SUM(B88:D88)-SUM(B87:D87)</f>
        <v>113727.64000000001</v>
      </c>
      <c r="Q88" s="437">
        <f t="shared" ref="Q88:Q111" si="77">ROUND(AVERAGE(P10,P13,P16,P19,P22,P25,P28,P31,P34,P37,P40,P43,P46,P49,P52,P55,P58,P61,P64,P67,P70,P73,P76,P79,P82,P85,P88),-3)</f>
        <v>73000</v>
      </c>
    </row>
    <row r="89" spans="1:17" x14ac:dyDescent="0.2">
      <c r="A89" s="295">
        <f t="shared" si="0"/>
        <v>42916</v>
      </c>
      <c r="B89" s="296">
        <f>SUM('Notes - June17'!D8:D11)</f>
        <v>63953.509999999995</v>
      </c>
      <c r="C89" s="296">
        <f>SUM('Notes - June17'!E8:E11)</f>
        <v>135576.97999999998</v>
      </c>
      <c r="D89" s="296">
        <f>SUM('Notes - June17'!F8:F11)</f>
        <v>772950.66</v>
      </c>
      <c r="F89" s="295">
        <f t="shared" si="1"/>
        <v>42916</v>
      </c>
      <c r="G89" s="428">
        <f t="shared" ref="G89:G102" si="78">B89</f>
        <v>63953.509999999995</v>
      </c>
      <c r="H89" s="428">
        <f t="shared" si="73"/>
        <v>51265.37</v>
      </c>
      <c r="I89" s="297">
        <f t="shared" si="74"/>
        <v>0.19839630381506806</v>
      </c>
      <c r="K89" s="295">
        <f t="shared" si="72"/>
        <v>42916</v>
      </c>
      <c r="L89" s="428">
        <f t="shared" ref="L89:L95" si="79">SUM(C89:D89)</f>
        <v>908527.64</v>
      </c>
      <c r="M89" s="428">
        <f t="shared" si="71"/>
        <v>801367.26</v>
      </c>
      <c r="N89" s="297">
        <f t="shared" si="75"/>
        <v>0.11794949903780583</v>
      </c>
      <c r="P89" s="435">
        <f t="shared" si="76"/>
        <v>-86761.640000000014</v>
      </c>
      <c r="Q89" s="435">
        <f t="shared" si="77"/>
        <v>-17000</v>
      </c>
    </row>
    <row r="90" spans="1:17" x14ac:dyDescent="0.2">
      <c r="A90" s="295">
        <f t="shared" si="0"/>
        <v>42947</v>
      </c>
      <c r="B90" s="296">
        <f>SUM('Notes - July17'!D8:D11)</f>
        <v>55443.929999999993</v>
      </c>
      <c r="C90" s="296">
        <f>SUM('Notes - July17'!E8:E11)</f>
        <v>51265.37</v>
      </c>
      <c r="D90" s="296">
        <f>SUM('Notes - July17'!F8:F11)</f>
        <v>801367.26</v>
      </c>
      <c r="F90" s="295">
        <f t="shared" si="1"/>
        <v>42947</v>
      </c>
      <c r="G90" s="428">
        <f t="shared" si="78"/>
        <v>55443.929999999993</v>
      </c>
      <c r="H90" s="428">
        <f t="shared" si="73"/>
        <v>66810.490000000005</v>
      </c>
      <c r="I90" s="297">
        <f t="shared" si="74"/>
        <v>-0.20500999838936407</v>
      </c>
      <c r="K90" s="295">
        <f t="shared" si="72"/>
        <v>42947</v>
      </c>
      <c r="L90" s="428">
        <f t="shared" si="79"/>
        <v>852632.63</v>
      </c>
      <c r="M90" s="428">
        <f t="shared" si="71"/>
        <v>767699.49</v>
      </c>
      <c r="N90" s="297">
        <f t="shared" si="75"/>
        <v>9.961281918098773E-2</v>
      </c>
      <c r="P90" s="436">
        <f t="shared" si="76"/>
        <v>-64404.589999999967</v>
      </c>
      <c r="Q90" s="436">
        <f t="shared" si="77"/>
        <v>-51000</v>
      </c>
    </row>
    <row r="91" spans="1:17" x14ac:dyDescent="0.2">
      <c r="A91" s="295">
        <f t="shared" si="0"/>
        <v>42978</v>
      </c>
      <c r="B91" s="296">
        <f>SUM('Notes - Aug17'!D8:D11)</f>
        <v>135261.34</v>
      </c>
      <c r="C91" s="296">
        <f>SUM('Notes - Aug17'!E8:E11)</f>
        <v>66810.490000000005</v>
      </c>
      <c r="D91" s="296">
        <f>SUM('Notes - Aug17'!F8:F11)</f>
        <v>767699.49</v>
      </c>
      <c r="F91" s="295">
        <f t="shared" si="1"/>
        <v>42978</v>
      </c>
      <c r="G91" s="428">
        <f t="shared" si="78"/>
        <v>135261.34</v>
      </c>
      <c r="H91" s="428">
        <f t="shared" si="73"/>
        <v>94262.26</v>
      </c>
      <c r="I91" s="297">
        <f t="shared" si="74"/>
        <v>0.30311011261606607</v>
      </c>
      <c r="K91" s="295">
        <f t="shared" si="72"/>
        <v>42978</v>
      </c>
      <c r="L91" s="428">
        <f t="shared" si="79"/>
        <v>834509.98</v>
      </c>
      <c r="M91" s="428">
        <f t="shared" si="71"/>
        <v>776464.23</v>
      </c>
      <c r="N91" s="297">
        <f t="shared" si="75"/>
        <v>6.9556687626431982E-2</v>
      </c>
      <c r="P91" s="437">
        <f t="shared" si="76"/>
        <v>61694.760000000009</v>
      </c>
      <c r="Q91" s="437">
        <f t="shared" si="77"/>
        <v>73000</v>
      </c>
    </row>
    <row r="92" spans="1:17" x14ac:dyDescent="0.2">
      <c r="A92" s="295">
        <f t="shared" si="0"/>
        <v>43008</v>
      </c>
      <c r="B92" s="296">
        <f>SUM('Notes - Sept17'!D8:D11)</f>
        <v>79598.77</v>
      </c>
      <c r="C92" s="296">
        <f>SUM('Notes - Sept17'!E8:E11)</f>
        <v>94262.26</v>
      </c>
      <c r="D92" s="296">
        <f>SUM('Notes - Sept17'!F8:F11)</f>
        <v>776464.23</v>
      </c>
      <c r="F92" s="295">
        <f t="shared" si="1"/>
        <v>43008</v>
      </c>
      <c r="G92" s="428">
        <f t="shared" si="78"/>
        <v>79598.77</v>
      </c>
      <c r="H92" s="428">
        <f t="shared" si="73"/>
        <v>65783.990000000005</v>
      </c>
      <c r="I92" s="297">
        <f t="shared" si="74"/>
        <v>0.17355519438302877</v>
      </c>
      <c r="K92" s="295">
        <f t="shared" si="72"/>
        <v>43008</v>
      </c>
      <c r="L92" s="428">
        <f t="shared" si="79"/>
        <v>870726.49</v>
      </c>
      <c r="M92" s="428">
        <f t="shared" si="71"/>
        <v>816995.75999999989</v>
      </c>
      <c r="N92" s="297">
        <f t="shared" si="75"/>
        <v>6.1707930810741843E-2</v>
      </c>
      <c r="P92" s="435">
        <f t="shared" si="76"/>
        <v>-19446.060000000056</v>
      </c>
      <c r="Q92" s="435">
        <f t="shared" si="77"/>
        <v>-17000</v>
      </c>
    </row>
    <row r="93" spans="1:17" x14ac:dyDescent="0.2">
      <c r="A93" s="295">
        <f t="shared" si="0"/>
        <v>43039</v>
      </c>
      <c r="B93" s="296">
        <f>SUM('Notes - Oct17'!D8:D11)</f>
        <v>48172.39</v>
      </c>
      <c r="C93" s="296">
        <f>SUM('Notes - Oct17'!E8:E11)</f>
        <v>65783.990000000005</v>
      </c>
      <c r="D93" s="296">
        <f>SUM('Notes - Oct17'!F8:F11)</f>
        <v>816995.75999999989</v>
      </c>
      <c r="F93" s="295">
        <f t="shared" si="1"/>
        <v>43039</v>
      </c>
      <c r="G93" s="428">
        <f t="shared" si="78"/>
        <v>48172.39</v>
      </c>
      <c r="H93" s="428">
        <f t="shared" si="73"/>
        <v>33906.590000000004</v>
      </c>
      <c r="I93" s="297">
        <f t="shared" si="74"/>
        <v>0.29614059007659771</v>
      </c>
      <c r="K93" s="295">
        <f t="shared" si="72"/>
        <v>43039</v>
      </c>
      <c r="L93" s="428">
        <f t="shared" si="79"/>
        <v>882779.74999999988</v>
      </c>
      <c r="M93" s="428">
        <f t="shared" si="71"/>
        <v>838851.78999999992</v>
      </c>
      <c r="N93" s="297">
        <f t="shared" si="75"/>
        <v>4.9760951131921603E-2</v>
      </c>
      <c r="P93" s="436">
        <f t="shared" si="76"/>
        <v>-19373.120000000112</v>
      </c>
      <c r="Q93" s="436">
        <f t="shared" si="77"/>
        <v>-53000</v>
      </c>
    </row>
    <row r="94" spans="1:17" x14ac:dyDescent="0.2">
      <c r="A94" s="295">
        <f t="shared" si="0"/>
        <v>43069</v>
      </c>
      <c r="B94" s="296">
        <f>SUM('Notes - Nov17'!D8:D11)</f>
        <v>111734.18999999999</v>
      </c>
      <c r="C94" s="296">
        <f>SUM('Notes - Nov17'!E8:E11)</f>
        <v>33906.590000000004</v>
      </c>
      <c r="D94" s="296">
        <f>SUM('Notes - Nov17'!F8:F11)</f>
        <v>838851.78999999992</v>
      </c>
      <c r="F94" s="295">
        <f t="shared" si="1"/>
        <v>43069</v>
      </c>
      <c r="G94" s="428">
        <f t="shared" si="78"/>
        <v>111734.18999999999</v>
      </c>
      <c r="H94" s="428">
        <f t="shared" si="73"/>
        <v>86356.26</v>
      </c>
      <c r="I94" s="297">
        <f t="shared" si="74"/>
        <v>0.22712770370465832</v>
      </c>
      <c r="K94" s="295">
        <f t="shared" si="72"/>
        <v>43069</v>
      </c>
      <c r="L94" s="428">
        <f>SUM(C94:D94)</f>
        <v>872758.37999999989</v>
      </c>
      <c r="M94" s="428">
        <f t="shared" si="71"/>
        <v>833218.31</v>
      </c>
      <c r="N94" s="297">
        <f t="shared" si="75"/>
        <v>4.5304715378384382E-2</v>
      </c>
      <c r="P94" s="437">
        <f t="shared" si="76"/>
        <v>53540.430000000051</v>
      </c>
      <c r="Q94" s="437">
        <f t="shared" si="77"/>
        <v>74000</v>
      </c>
    </row>
    <row r="95" spans="1:17" x14ac:dyDescent="0.2">
      <c r="A95" s="295">
        <f t="shared" si="0"/>
        <v>43100</v>
      </c>
      <c r="B95" s="296">
        <f>SUM('Notes - Dec17'!D8:D11)</f>
        <v>94976.430000000008</v>
      </c>
      <c r="C95" s="296">
        <f>SUM('Notes - Dec17'!E8:E11)</f>
        <v>86356.26</v>
      </c>
      <c r="D95" s="296">
        <f>SUM('Notes - Dec17'!F8:F11)</f>
        <v>833218.31</v>
      </c>
      <c r="F95" s="295">
        <f t="shared" si="1"/>
        <v>43100</v>
      </c>
      <c r="G95" s="428">
        <f t="shared" si="78"/>
        <v>94976.430000000008</v>
      </c>
      <c r="H95" s="428">
        <f t="shared" si="73"/>
        <v>74253.26999999999</v>
      </c>
      <c r="I95" s="297">
        <f t="shared" si="74"/>
        <v>0.21819266106338189</v>
      </c>
      <c r="K95" s="295">
        <f t="shared" si="72"/>
        <v>43100</v>
      </c>
      <c r="L95" s="428">
        <f t="shared" si="79"/>
        <v>919574.57000000007</v>
      </c>
      <c r="M95" s="428">
        <f t="shared" si="71"/>
        <v>869248.08000000007</v>
      </c>
      <c r="N95" s="297">
        <f t="shared" si="75"/>
        <v>5.4728014064155762E-2</v>
      </c>
      <c r="P95" s="435">
        <f t="shared" si="76"/>
        <v>30058.430000000051</v>
      </c>
      <c r="Q95" s="435">
        <f t="shared" si="77"/>
        <v>-13000</v>
      </c>
    </row>
    <row r="96" spans="1:17" x14ac:dyDescent="0.2">
      <c r="A96" s="295">
        <f t="shared" si="0"/>
        <v>43131</v>
      </c>
      <c r="B96" s="296">
        <f>SUM('Notes - Jan18'!D8:D11)</f>
        <v>54731.130000000005</v>
      </c>
      <c r="C96" s="296">
        <f>SUM('Notes - Jan18'!E8:E11)</f>
        <v>74253.26999999999</v>
      </c>
      <c r="D96" s="296">
        <f>SUM('Notes - Jan18'!F8:F11)</f>
        <v>869248.08000000007</v>
      </c>
      <c r="F96" s="295">
        <f t="shared" si="1"/>
        <v>43131</v>
      </c>
      <c r="G96" s="428">
        <f t="shared" si="78"/>
        <v>54731.130000000005</v>
      </c>
      <c r="H96" s="428">
        <f t="shared" si="73"/>
        <v>30126.53</v>
      </c>
      <c r="I96" s="297">
        <f t="shared" si="74"/>
        <v>0.4495540289411164</v>
      </c>
      <c r="K96" s="295">
        <f t="shared" si="72"/>
        <v>43131</v>
      </c>
      <c r="L96" s="428">
        <f t="shared" ref="L96:L101" si="80">SUM(C96:D96)</f>
        <v>943501.35000000009</v>
      </c>
      <c r="M96" s="428">
        <f t="shared" si="71"/>
        <v>886192.61</v>
      </c>
      <c r="N96" s="297">
        <f t="shared" si="75"/>
        <v>6.074049602578746E-2</v>
      </c>
      <c r="P96" s="441">
        <f t="shared" si="76"/>
        <v>-16318.519999999902</v>
      </c>
      <c r="Q96" s="441">
        <f t="shared" si="77"/>
        <v>-53000</v>
      </c>
    </row>
    <row r="97" spans="1:17" x14ac:dyDescent="0.2">
      <c r="A97" s="295">
        <f t="shared" si="0"/>
        <v>43159</v>
      </c>
      <c r="B97" s="296">
        <f>SUM('Notes - Feb18'!D8:D11)</f>
        <v>231810.8</v>
      </c>
      <c r="C97" s="296">
        <f>SUM('Notes - Feb18'!E8:E11)</f>
        <v>30126.53</v>
      </c>
      <c r="D97" s="296">
        <f>SUM('Notes - Feb18'!F8:F11)</f>
        <v>886192.61</v>
      </c>
      <c r="F97" s="295">
        <f t="shared" si="1"/>
        <v>43159</v>
      </c>
      <c r="G97" s="428">
        <f t="shared" si="78"/>
        <v>231810.8</v>
      </c>
      <c r="H97" s="428">
        <f t="shared" si="73"/>
        <v>192980.07</v>
      </c>
      <c r="I97" s="297">
        <f t="shared" si="74"/>
        <v>0.16751044386197703</v>
      </c>
      <c r="K97" s="295">
        <f t="shared" si="72"/>
        <v>43159</v>
      </c>
      <c r="L97" s="428">
        <f t="shared" si="80"/>
        <v>916319.14</v>
      </c>
      <c r="M97" s="428">
        <f t="shared" si="71"/>
        <v>873765.79999999993</v>
      </c>
      <c r="N97" s="297">
        <f t="shared" si="75"/>
        <v>4.6439431571843062E-2</v>
      </c>
      <c r="P97" s="437">
        <f t="shared" ref="P97:P107" si="81">SUM(B97:D97)-SUM(B96:D96)</f>
        <v>149897.45999999985</v>
      </c>
      <c r="Q97" s="437">
        <f t="shared" si="77"/>
        <v>74000</v>
      </c>
    </row>
    <row r="98" spans="1:17" x14ac:dyDescent="0.2">
      <c r="A98" s="295">
        <f t="shared" si="0"/>
        <v>43190</v>
      </c>
      <c r="B98" s="296">
        <f>SUM('Notes - Mar18'!D8:D11)</f>
        <v>110362.48</v>
      </c>
      <c r="C98" s="296">
        <f>SUM('Notes - Mar18'!E8:E11)</f>
        <v>192980.07</v>
      </c>
      <c r="D98" s="296">
        <f>SUM('Notes - Mar18'!F8:F11)</f>
        <v>873765.79999999993</v>
      </c>
      <c r="F98" s="295">
        <f t="shared" si="1"/>
        <v>43190</v>
      </c>
      <c r="G98" s="428">
        <f t="shared" si="78"/>
        <v>110362.48</v>
      </c>
      <c r="H98" s="428">
        <f t="shared" si="73"/>
        <v>84287.62000000001</v>
      </c>
      <c r="I98" s="297">
        <f t="shared" si="74"/>
        <v>0.23626562215709529</v>
      </c>
      <c r="K98" s="295">
        <f t="shared" si="72"/>
        <v>43190</v>
      </c>
      <c r="L98" s="428">
        <f t="shared" si="80"/>
        <v>1066745.8699999999</v>
      </c>
      <c r="M98" s="428">
        <f t="shared" si="71"/>
        <v>913269.55</v>
      </c>
      <c r="N98" s="297">
        <f t="shared" si="75"/>
        <v>0.14387336695289935</v>
      </c>
      <c r="P98" s="435">
        <f t="shared" si="81"/>
        <v>28978.409999999916</v>
      </c>
      <c r="Q98" s="435">
        <f t="shared" si="77"/>
        <v>-12000</v>
      </c>
    </row>
    <row r="99" spans="1:17" x14ac:dyDescent="0.2">
      <c r="A99" s="295">
        <f t="shared" si="0"/>
        <v>43220</v>
      </c>
      <c r="B99" s="296">
        <f>SUM('Notes - Apr18'!D8:D11)</f>
        <v>54400.3</v>
      </c>
      <c r="C99" s="296">
        <f>SUM('Notes - Apr18'!E8:E11)</f>
        <v>84287.62000000001</v>
      </c>
      <c r="D99" s="296">
        <f>SUM('Notes - Apr18'!F8:F11)</f>
        <v>913269.55</v>
      </c>
      <c r="F99" s="295">
        <f t="shared" si="1"/>
        <v>43220</v>
      </c>
      <c r="G99" s="428">
        <f t="shared" si="78"/>
        <v>54400.3</v>
      </c>
      <c r="H99" s="428">
        <f t="shared" si="73"/>
        <v>48706.63</v>
      </c>
      <c r="I99" s="297">
        <f t="shared" si="74"/>
        <v>0.10466247428782571</v>
      </c>
      <c r="K99" s="295">
        <f t="shared" si="72"/>
        <v>43220</v>
      </c>
      <c r="L99" s="428">
        <f t="shared" si="80"/>
        <v>997557.17</v>
      </c>
      <c r="M99" s="428">
        <f t="shared" si="71"/>
        <v>914847.62</v>
      </c>
      <c r="N99" s="297">
        <f t="shared" si="75"/>
        <v>8.2912090141159578E-2</v>
      </c>
      <c r="P99" s="441">
        <f t="shared" si="81"/>
        <v>-125150.87999999989</v>
      </c>
      <c r="Q99" s="441">
        <f t="shared" si="77"/>
        <v>-55000</v>
      </c>
    </row>
    <row r="100" spans="1:17" x14ac:dyDescent="0.2">
      <c r="A100" s="295">
        <f t="shared" si="0"/>
        <v>43251</v>
      </c>
      <c r="B100" s="296">
        <f>SUM('Notes - May18'!D8:D11)</f>
        <v>153520.73000000001</v>
      </c>
      <c r="C100" s="296">
        <f>SUM('Notes - May18'!E8:E11)</f>
        <v>48706.63</v>
      </c>
      <c r="D100" s="296">
        <f>SUM('Notes - May18'!F8:F11)</f>
        <v>914847.62</v>
      </c>
      <c r="F100" s="295">
        <f t="shared" si="1"/>
        <v>43251</v>
      </c>
      <c r="G100" s="428">
        <f t="shared" si="78"/>
        <v>153520.73000000001</v>
      </c>
      <c r="H100" s="428">
        <f t="shared" si="73"/>
        <v>121400.07</v>
      </c>
      <c r="I100" s="297">
        <f t="shared" si="74"/>
        <v>0.20922685815785269</v>
      </c>
      <c r="K100" s="295">
        <f t="shared" si="72"/>
        <v>43251</v>
      </c>
      <c r="L100" s="428">
        <f t="shared" si="80"/>
        <v>963554.25</v>
      </c>
      <c r="M100" s="428">
        <f t="shared" si="71"/>
        <v>907343.92</v>
      </c>
      <c r="N100" s="297">
        <f t="shared" si="75"/>
        <v>5.8336445508906175E-2</v>
      </c>
      <c r="P100" s="437">
        <f t="shared" si="81"/>
        <v>65117.510000000009</v>
      </c>
      <c r="Q100" s="437">
        <f t="shared" si="77"/>
        <v>75000</v>
      </c>
    </row>
    <row r="101" spans="1:17" x14ac:dyDescent="0.2">
      <c r="A101" s="295">
        <f t="shared" si="0"/>
        <v>43281</v>
      </c>
      <c r="B101" s="296">
        <f>SUM('Notes - Jun18'!D8:D11)</f>
        <v>110071.64</v>
      </c>
      <c r="C101" s="296">
        <f>SUM('Notes - Jun18'!E8:E11)</f>
        <v>121400.07</v>
      </c>
      <c r="D101" s="296">
        <f>SUM('Notes - Jun18'!F8:F11)</f>
        <v>907343.92</v>
      </c>
      <c r="F101" s="295">
        <f t="shared" si="1"/>
        <v>43281</v>
      </c>
      <c r="G101" s="428">
        <f t="shared" si="78"/>
        <v>110071.64</v>
      </c>
      <c r="H101" s="428">
        <f t="shared" si="73"/>
        <v>83144.149999999994</v>
      </c>
      <c r="I101" s="297">
        <f t="shared" si="74"/>
        <v>0.24463603885614865</v>
      </c>
      <c r="K101" s="295">
        <f t="shared" si="72"/>
        <v>43281</v>
      </c>
      <c r="L101" s="428">
        <f t="shared" si="80"/>
        <v>1028743.99</v>
      </c>
      <c r="M101" s="428">
        <f t="shared" si="71"/>
        <v>952182.84</v>
      </c>
      <c r="N101" s="297">
        <f t="shared" si="75"/>
        <v>7.4421965760402664E-2</v>
      </c>
      <c r="P101" s="435">
        <f t="shared" si="81"/>
        <v>21740.65000000014</v>
      </c>
      <c r="Q101" s="435">
        <f t="shared" si="77"/>
        <v>-11000</v>
      </c>
    </row>
    <row r="102" spans="1:17" x14ac:dyDescent="0.2">
      <c r="A102" s="295">
        <f t="shared" si="0"/>
        <v>43312</v>
      </c>
      <c r="B102" s="296">
        <f>SUM('Notes - Jul18'!D8:D11)</f>
        <v>82613.349999999933</v>
      </c>
      <c r="C102" s="296">
        <f>SUM('Notes - Jul18'!E8:E11)</f>
        <v>83144.149999999994</v>
      </c>
      <c r="D102" s="296">
        <f>SUM('Notes - Jul18'!F8:F11)</f>
        <v>952182.84</v>
      </c>
      <c r="F102" s="295">
        <f t="shared" si="1"/>
        <v>43312</v>
      </c>
      <c r="G102" s="428">
        <f t="shared" si="78"/>
        <v>82613.349999999933</v>
      </c>
      <c r="H102" s="428">
        <f t="shared" si="73"/>
        <v>74078.369999999981</v>
      </c>
      <c r="I102" s="297">
        <f t="shared" si="74"/>
        <v>0.10331235811161221</v>
      </c>
      <c r="K102" s="295">
        <f t="shared" si="72"/>
        <v>43312</v>
      </c>
      <c r="L102" s="428">
        <f t="shared" ref="L102:L111" si="82">SUM(C102:D102)</f>
        <v>1035326.99</v>
      </c>
      <c r="M102" s="428">
        <f t="shared" ref="M102:M111" si="83">D103</f>
        <v>948969.53</v>
      </c>
      <c r="N102" s="297">
        <f t="shared" si="75"/>
        <v>8.3410807246510552E-2</v>
      </c>
      <c r="P102" s="441">
        <f t="shared" si="81"/>
        <v>-20875.29000000027</v>
      </c>
      <c r="Q102" s="441">
        <f t="shared" si="77"/>
        <v>-54000</v>
      </c>
    </row>
    <row r="103" spans="1:17" x14ac:dyDescent="0.2">
      <c r="A103" s="295">
        <f t="shared" si="0"/>
        <v>43343</v>
      </c>
      <c r="B103" s="296">
        <f>SUM('Notes - Aug18'!D8:D11)</f>
        <v>173802.53</v>
      </c>
      <c r="C103" s="296">
        <f>SUM('Notes - Aug18'!E8:E11)</f>
        <v>74078.369999999981</v>
      </c>
      <c r="D103" s="296">
        <f>SUM('Notes - Aug18'!F8:F11)</f>
        <v>948969.53</v>
      </c>
      <c r="F103" s="295">
        <f t="shared" si="1"/>
        <v>43343</v>
      </c>
      <c r="G103" s="428">
        <f t="shared" ref="G103:G112" si="84">B103</f>
        <v>173802.53</v>
      </c>
      <c r="H103" s="428">
        <f t="shared" ref="H103:H111" si="85">C104</f>
        <v>150366.53</v>
      </c>
      <c r="I103" s="297">
        <f t="shared" si="74"/>
        <v>0.13484268612200295</v>
      </c>
      <c r="K103" s="295">
        <f t="shared" si="72"/>
        <v>43343</v>
      </c>
      <c r="L103" s="428">
        <f t="shared" si="82"/>
        <v>1023047.9</v>
      </c>
      <c r="M103" s="428">
        <f t="shared" si="83"/>
        <v>955137.40999999992</v>
      </c>
      <c r="N103" s="297">
        <f t="shared" ref="N103:N111" si="86">(L103-M103)/L103</f>
        <v>6.6380557547696548E-2</v>
      </c>
      <c r="P103" s="437">
        <f t="shared" si="81"/>
        <v>78910.090000000084</v>
      </c>
      <c r="Q103" s="437">
        <f t="shared" si="77"/>
        <v>75000</v>
      </c>
    </row>
    <row r="104" spans="1:17" x14ac:dyDescent="0.2">
      <c r="A104" s="295">
        <f t="shared" si="0"/>
        <v>43373</v>
      </c>
      <c r="B104" s="296">
        <f>SUM('Notes - Sept18'!D8:D11)</f>
        <v>105962.63000000005</v>
      </c>
      <c r="C104" s="296">
        <f>SUM('Notes - Sept18'!E8:E11)</f>
        <v>150366.53</v>
      </c>
      <c r="D104" s="296">
        <f>SUM('Notes - Sept18'!F8:F11)</f>
        <v>955137.40999999992</v>
      </c>
      <c r="F104" s="295">
        <f t="shared" si="1"/>
        <v>43373</v>
      </c>
      <c r="G104" s="428">
        <f t="shared" si="84"/>
        <v>105962.63000000005</v>
      </c>
      <c r="H104" s="428">
        <f t="shared" si="85"/>
        <v>69898.260000000009</v>
      </c>
      <c r="I104" s="297">
        <f t="shared" si="74"/>
        <v>0.34034989505262397</v>
      </c>
      <c r="K104" s="295">
        <f t="shared" si="72"/>
        <v>43373</v>
      </c>
      <c r="L104" s="428">
        <f t="shared" si="82"/>
        <v>1105503.94</v>
      </c>
      <c r="M104" s="428">
        <f t="shared" si="83"/>
        <v>1025638.6399999999</v>
      </c>
      <c r="N104" s="297">
        <f t="shared" si="86"/>
        <v>7.2243342705770958E-2</v>
      </c>
      <c r="P104" s="435">
        <f t="shared" si="81"/>
        <v>14616.139999999898</v>
      </c>
      <c r="Q104" s="435">
        <f t="shared" si="77"/>
        <v>-10000</v>
      </c>
    </row>
    <row r="105" spans="1:17" x14ac:dyDescent="0.2">
      <c r="A105" s="295">
        <f t="shared" si="0"/>
        <v>43404</v>
      </c>
      <c r="B105" s="296">
        <f>SUM('Notes - Oct18'!D8:D11)</f>
        <v>67877.37</v>
      </c>
      <c r="C105" s="296">
        <f>SUM('Notes - Oct18'!E8:E11)</f>
        <v>69898.260000000009</v>
      </c>
      <c r="D105" s="296">
        <f>SUM('Notes - Oct18'!F8:F11)</f>
        <v>1025638.6399999999</v>
      </c>
      <c r="F105" s="295">
        <f t="shared" si="1"/>
        <v>43404</v>
      </c>
      <c r="G105" s="428">
        <f t="shared" si="84"/>
        <v>67877.37</v>
      </c>
      <c r="H105" s="428">
        <f t="shared" si="85"/>
        <v>51816.32</v>
      </c>
      <c r="I105" s="297">
        <f t="shared" si="74"/>
        <v>0.23661862561852348</v>
      </c>
      <c r="K105" s="295">
        <f t="shared" si="72"/>
        <v>43404</v>
      </c>
      <c r="L105" s="428">
        <f t="shared" si="82"/>
        <v>1095536.8999999999</v>
      </c>
      <c r="M105" s="428">
        <f t="shared" si="83"/>
        <v>985802.5</v>
      </c>
      <c r="N105" s="297">
        <f t="shared" si="86"/>
        <v>0.10016495108471464</v>
      </c>
      <c r="P105" s="441">
        <f t="shared" si="81"/>
        <v>-48052.299999999814</v>
      </c>
      <c r="Q105" s="441">
        <f t="shared" si="77"/>
        <v>-56000</v>
      </c>
    </row>
    <row r="106" spans="1:17" x14ac:dyDescent="0.2">
      <c r="A106" s="295">
        <f t="shared" si="0"/>
        <v>43434</v>
      </c>
      <c r="B106" s="296">
        <f>SUM('Notes - Nov18'!D8:D11)</f>
        <v>130239.51</v>
      </c>
      <c r="C106" s="296">
        <f>SUM('Notes - Nov18'!E8:E11)</f>
        <v>51816.32</v>
      </c>
      <c r="D106" s="296">
        <f>SUM('Notes - Nov18'!F8:F11)</f>
        <v>985802.5</v>
      </c>
      <c r="F106" s="295">
        <f t="shared" si="1"/>
        <v>43434</v>
      </c>
      <c r="G106" s="428">
        <f t="shared" si="84"/>
        <v>130239.51</v>
      </c>
      <c r="H106" s="428">
        <f t="shared" si="85"/>
        <v>100332.93</v>
      </c>
      <c r="I106" s="297">
        <f t="shared" si="74"/>
        <v>0.2296275531134907</v>
      </c>
      <c r="K106" s="295">
        <f t="shared" si="72"/>
        <v>43434</v>
      </c>
      <c r="L106" s="428">
        <f t="shared" si="82"/>
        <v>1037618.82</v>
      </c>
      <c r="M106" s="428">
        <f t="shared" si="83"/>
        <v>989762.59</v>
      </c>
      <c r="N106" s="297">
        <f t="shared" si="86"/>
        <v>4.6121204702127494E-2</v>
      </c>
      <c r="P106" s="437">
        <f t="shared" si="81"/>
        <v>4444.0600000000559</v>
      </c>
      <c r="Q106" s="437">
        <f t="shared" si="77"/>
        <v>73000</v>
      </c>
    </row>
    <row r="107" spans="1:17" x14ac:dyDescent="0.2">
      <c r="A107" s="295">
        <f t="shared" si="0"/>
        <v>43465</v>
      </c>
      <c r="B107" s="296">
        <f>SUM('Notes - Dec18'!D8:D11)</f>
        <v>78563.03</v>
      </c>
      <c r="C107" s="296">
        <f>SUM('Notes - Dec18'!E8:E11)</f>
        <v>100332.93</v>
      </c>
      <c r="D107" s="296">
        <f>SUM('Notes - Dec18'!F8:F11)</f>
        <v>989762.59</v>
      </c>
      <c r="F107" s="295">
        <f t="shared" si="1"/>
        <v>43465</v>
      </c>
      <c r="G107" s="428">
        <f t="shared" si="84"/>
        <v>78563.03</v>
      </c>
      <c r="H107" s="428">
        <f t="shared" si="85"/>
        <v>56558.47</v>
      </c>
      <c r="I107" s="297">
        <f t="shared" si="74"/>
        <v>0.28008797522193324</v>
      </c>
      <c r="K107" s="295">
        <f t="shared" si="72"/>
        <v>43465</v>
      </c>
      <c r="L107" s="428">
        <f t="shared" si="82"/>
        <v>1090095.52</v>
      </c>
      <c r="M107" s="428">
        <f t="shared" si="83"/>
        <v>985929.35000000009</v>
      </c>
      <c r="N107" s="297">
        <f t="shared" si="86"/>
        <v>9.5556919635813128E-2</v>
      </c>
      <c r="P107" s="435">
        <f t="shared" si="81"/>
        <v>800.21999999997206</v>
      </c>
      <c r="Q107" s="435">
        <f t="shared" si="77"/>
        <v>-10000</v>
      </c>
    </row>
    <row r="108" spans="1:17" x14ac:dyDescent="0.2">
      <c r="A108" s="295">
        <f t="shared" si="0"/>
        <v>43496</v>
      </c>
      <c r="B108" s="296">
        <f>SUM('Notes - Jan19'!D8:D11)</f>
        <v>63669.929999999993</v>
      </c>
      <c r="C108" s="296">
        <f>SUM('Notes - Jan19'!E8:E11)</f>
        <v>56558.47</v>
      </c>
      <c r="D108" s="296">
        <f>SUM('Notes - Jan19'!F8:F11)</f>
        <v>985929.35000000009</v>
      </c>
      <c r="F108" s="295">
        <f t="shared" ref="F108:F161" si="87">EOMONTH(F107,1)</f>
        <v>43496</v>
      </c>
      <c r="G108" s="428">
        <f t="shared" si="84"/>
        <v>63669.929999999993</v>
      </c>
      <c r="H108" s="428">
        <f t="shared" si="85"/>
        <v>40221.18</v>
      </c>
      <c r="I108" s="297">
        <f t="shared" si="74"/>
        <v>0.36828609674928175</v>
      </c>
      <c r="K108" s="295">
        <f t="shared" si="72"/>
        <v>43496</v>
      </c>
      <c r="L108" s="428">
        <f t="shared" si="82"/>
        <v>1042487.8200000001</v>
      </c>
      <c r="M108" s="428">
        <f t="shared" si="83"/>
        <v>983151.7</v>
      </c>
      <c r="N108" s="297">
        <f t="shared" si="86"/>
        <v>5.6917806483341077E-2</v>
      </c>
      <c r="P108" s="441">
        <f t="shared" ref="P108:P118" si="88">SUM(B108:D108)-SUM(B107:D107)</f>
        <v>-62500.800000000047</v>
      </c>
      <c r="Q108" s="441">
        <f t="shared" si="77"/>
        <v>-52000</v>
      </c>
    </row>
    <row r="109" spans="1:17" x14ac:dyDescent="0.2">
      <c r="A109" s="295">
        <f t="shared" si="0"/>
        <v>43524</v>
      </c>
      <c r="B109" s="296">
        <f>SUM('Notes - Feb19'!D8:D11)</f>
        <v>151594.71</v>
      </c>
      <c r="C109" s="296">
        <f>SUM('Notes - Feb19'!E8:E11)</f>
        <v>40221.18</v>
      </c>
      <c r="D109" s="296">
        <f>SUM('Notes - Feb19'!F8:F11)</f>
        <v>983151.7</v>
      </c>
      <c r="F109" s="295">
        <f t="shared" si="87"/>
        <v>43524</v>
      </c>
      <c r="G109" s="428">
        <f t="shared" si="84"/>
        <v>151594.71</v>
      </c>
      <c r="H109" s="428">
        <f t="shared" si="85"/>
        <v>105916.39</v>
      </c>
      <c r="I109" s="297">
        <f t="shared" si="74"/>
        <v>0.30131869377236181</v>
      </c>
      <c r="K109" s="295">
        <f t="shared" si="72"/>
        <v>43524</v>
      </c>
      <c r="L109" s="428">
        <f t="shared" si="82"/>
        <v>1023372.88</v>
      </c>
      <c r="M109" s="428">
        <f t="shared" si="83"/>
        <v>962938.3</v>
      </c>
      <c r="N109" s="297">
        <f t="shared" si="86"/>
        <v>5.9054310682925229E-2</v>
      </c>
      <c r="P109" s="437">
        <f t="shared" si="88"/>
        <v>68809.839999999851</v>
      </c>
      <c r="Q109" s="437">
        <f t="shared" si="77"/>
        <v>72000</v>
      </c>
    </row>
    <row r="110" spans="1:17" x14ac:dyDescent="0.2">
      <c r="A110" s="295">
        <f t="shared" si="0"/>
        <v>43555</v>
      </c>
      <c r="B110" s="296">
        <f>SUM('Notes - Mar19'!D8:D11)</f>
        <v>84410.29</v>
      </c>
      <c r="C110" s="296">
        <f>SUM('Notes - Mar19'!E8:E11)</f>
        <v>105916.39</v>
      </c>
      <c r="D110" s="296">
        <f>SUM('Notes - Mar19'!F8:F11)</f>
        <v>962938.3</v>
      </c>
      <c r="F110" s="295">
        <f t="shared" si="87"/>
        <v>43555</v>
      </c>
      <c r="G110" s="428">
        <f t="shared" si="84"/>
        <v>84410.29</v>
      </c>
      <c r="H110" s="428">
        <f t="shared" si="85"/>
        <v>58667.509999999995</v>
      </c>
      <c r="I110" s="297">
        <f t="shared" si="74"/>
        <v>0.30497205968608804</v>
      </c>
      <c r="K110" s="295">
        <f t="shared" si="72"/>
        <v>43555</v>
      </c>
      <c r="L110" s="428">
        <f t="shared" si="82"/>
        <v>1068854.69</v>
      </c>
      <c r="M110" s="428">
        <f t="shared" si="83"/>
        <v>955591.16999999993</v>
      </c>
      <c r="N110" s="297">
        <f t="shared" si="86"/>
        <v>0.10596718249886711</v>
      </c>
      <c r="P110" s="435">
        <f t="shared" si="88"/>
        <v>-21702.60999999987</v>
      </c>
      <c r="Q110" s="435">
        <f t="shared" si="77"/>
        <v>-13000</v>
      </c>
    </row>
    <row r="111" spans="1:17" x14ac:dyDescent="0.2">
      <c r="A111" s="295">
        <f t="shared" si="0"/>
        <v>43585</v>
      </c>
      <c r="B111" s="296">
        <f>SUM('Notes - Apr19'!D8:D11)</f>
        <v>40793.39</v>
      </c>
      <c r="C111" s="296">
        <f>SUM('Notes - Apr19'!E8:E11)</f>
        <v>58667.509999999995</v>
      </c>
      <c r="D111" s="296">
        <f>SUM('Notes - Apr19'!F8:F11)</f>
        <v>955591.16999999993</v>
      </c>
      <c r="F111" s="295">
        <f t="shared" si="87"/>
        <v>43585</v>
      </c>
      <c r="G111" s="428">
        <f t="shared" si="84"/>
        <v>40793.39</v>
      </c>
      <c r="H111" s="428">
        <f t="shared" si="85"/>
        <v>33048.720000000001</v>
      </c>
      <c r="I111" s="297">
        <f t="shared" si="74"/>
        <v>0.18985110087688223</v>
      </c>
      <c r="K111" s="295">
        <f t="shared" si="72"/>
        <v>43585</v>
      </c>
      <c r="L111" s="428">
        <f t="shared" si="82"/>
        <v>1014258.6799999999</v>
      </c>
      <c r="M111" s="428">
        <f t="shared" si="83"/>
        <v>941868.63</v>
      </c>
      <c r="N111" s="297">
        <f t="shared" si="86"/>
        <v>7.1372374156068286E-2</v>
      </c>
      <c r="P111" s="441">
        <f t="shared" si="88"/>
        <v>-98212.910000000149</v>
      </c>
      <c r="Q111" s="441">
        <f t="shared" si="77"/>
        <v>-53000</v>
      </c>
    </row>
    <row r="112" spans="1:17" x14ac:dyDescent="0.2">
      <c r="A112" s="295">
        <f t="shared" si="0"/>
        <v>43616</v>
      </c>
      <c r="B112" s="296">
        <f>SUM('Notes - May19'!D8:D11)</f>
        <v>170191.79</v>
      </c>
      <c r="C112" s="296">
        <f>SUM('Notes - May19'!E8:E11)</f>
        <v>33048.720000000001</v>
      </c>
      <c r="D112" s="296">
        <f>SUM('Notes - May19'!F8:F11)</f>
        <v>941868.63</v>
      </c>
      <c r="F112" s="295">
        <f t="shared" si="87"/>
        <v>43616</v>
      </c>
      <c r="G112" s="428">
        <f t="shared" si="84"/>
        <v>170191.79</v>
      </c>
      <c r="H112" s="428">
        <f t="shared" ref="H112:H117" si="89">C113</f>
        <v>134241.03</v>
      </c>
      <c r="I112" s="297">
        <f t="shared" ref="I112:I117" si="90">(G112-H112)/G112</f>
        <v>0.21123674649640858</v>
      </c>
      <c r="K112" s="295">
        <f t="shared" si="72"/>
        <v>43616</v>
      </c>
      <c r="L112" s="428">
        <f t="shared" ref="L112:L117" si="91">SUM(C112:D112)</f>
        <v>974917.35</v>
      </c>
      <c r="M112" s="428">
        <f t="shared" ref="M112:M117" si="92">D113</f>
        <v>930084.08000000007</v>
      </c>
      <c r="N112" s="297">
        <f t="shared" ref="N112:N117" si="93">(L112-M112)/L112</f>
        <v>4.5986739286155799E-2</v>
      </c>
      <c r="P112" s="437">
        <f t="shared" si="88"/>
        <v>90057.070000000298</v>
      </c>
      <c r="Q112" s="437">
        <f t="shared" ref="Q112:Q118" si="94">ROUND(AVERAGE(P34,P37,P40,P43,P46,P49,P52,P55,P58,P61,P64,P67,P70,P73,P76,P79,P82,P85,P88,P91,P94,P97,P100,P103,P106,P109,P112),-3)</f>
        <v>72000</v>
      </c>
    </row>
    <row r="113" spans="1:17" x14ac:dyDescent="0.2">
      <c r="A113" s="295">
        <f t="shared" si="0"/>
        <v>43646</v>
      </c>
      <c r="B113" s="296">
        <f>SUM('Notes - Jun19'!D8:D11)</f>
        <v>105298.62</v>
      </c>
      <c r="C113" s="296">
        <f>SUM('Notes - Jun19'!E8:E11)</f>
        <v>134241.03</v>
      </c>
      <c r="D113" s="296">
        <f>SUM('Notes - Jun19'!F8:F11)</f>
        <v>930084.08000000007</v>
      </c>
      <c r="F113" s="295">
        <f t="shared" si="87"/>
        <v>43646</v>
      </c>
      <c r="G113" s="428">
        <f t="shared" ref="G113:G125" si="95">B113</f>
        <v>105298.62</v>
      </c>
      <c r="H113" s="428">
        <f t="shared" si="89"/>
        <v>63262.96</v>
      </c>
      <c r="I113" s="297">
        <f t="shared" si="90"/>
        <v>0.39920428206941361</v>
      </c>
      <c r="K113" s="295">
        <f t="shared" si="72"/>
        <v>43646</v>
      </c>
      <c r="L113" s="428">
        <f t="shared" si="91"/>
        <v>1064325.1100000001</v>
      </c>
      <c r="M113" s="428">
        <f t="shared" si="92"/>
        <v>984412.37999999989</v>
      </c>
      <c r="N113" s="297">
        <f t="shared" si="93"/>
        <v>7.5083007296520704E-2</v>
      </c>
      <c r="P113" s="435">
        <f t="shared" si="88"/>
        <v>24514.589999999851</v>
      </c>
      <c r="Q113" s="435">
        <f t="shared" si="94"/>
        <v>-11000</v>
      </c>
    </row>
    <row r="114" spans="1:17" x14ac:dyDescent="0.2">
      <c r="A114" s="295">
        <f t="shared" si="0"/>
        <v>43677</v>
      </c>
      <c r="B114" s="296">
        <f>SUM('Notes - Jul19'!D8:D11)</f>
        <v>74574.03</v>
      </c>
      <c r="C114" s="296">
        <f>SUM('Notes - Jul19'!E8:E11)</f>
        <v>63262.96</v>
      </c>
      <c r="D114" s="296">
        <f>SUM('Notes - Jul19'!F8:F11)</f>
        <v>984412.37999999989</v>
      </c>
      <c r="F114" s="295">
        <f t="shared" si="87"/>
        <v>43677</v>
      </c>
      <c r="G114" s="428">
        <f t="shared" si="95"/>
        <v>74574.03</v>
      </c>
      <c r="H114" s="428">
        <f t="shared" si="89"/>
        <v>57320.590000000004</v>
      </c>
      <c r="I114" s="297">
        <f t="shared" si="90"/>
        <v>0.23135989834530862</v>
      </c>
      <c r="K114" s="295">
        <f t="shared" si="72"/>
        <v>43677</v>
      </c>
      <c r="L114" s="428">
        <f t="shared" si="91"/>
        <v>1047675.3399999999</v>
      </c>
      <c r="M114" s="428">
        <f t="shared" si="92"/>
        <v>987016.47999999986</v>
      </c>
      <c r="N114" s="297">
        <f t="shared" si="93"/>
        <v>5.7898527992459946E-2</v>
      </c>
      <c r="P114" s="441">
        <f t="shared" si="88"/>
        <v>-47374.360000000102</v>
      </c>
      <c r="Q114" s="441">
        <f t="shared" si="94"/>
        <v>-53000</v>
      </c>
    </row>
    <row r="115" spans="1:17" x14ac:dyDescent="0.2">
      <c r="A115" s="295">
        <f t="shared" ref="A115:A161" si="96">EOMONTH(A114,1)</f>
        <v>43708</v>
      </c>
      <c r="B115" s="296">
        <f>SUM('Notes - Aug19'!D8:D11)</f>
        <v>263757.06</v>
      </c>
      <c r="C115" s="296">
        <f>SUM('Notes - Aug19'!E8:E11)</f>
        <v>57320.590000000004</v>
      </c>
      <c r="D115" s="296">
        <f>SUM('Notes - Aug19'!F8:F11)</f>
        <v>987016.47999999986</v>
      </c>
      <c r="F115" s="295">
        <f t="shared" si="87"/>
        <v>43708</v>
      </c>
      <c r="G115" s="428">
        <f t="shared" si="95"/>
        <v>263757.06</v>
      </c>
      <c r="H115" s="428">
        <f t="shared" si="89"/>
        <v>9476.33</v>
      </c>
      <c r="I115" s="297">
        <f t="shared" si="90"/>
        <v>0.96407174844912213</v>
      </c>
      <c r="K115" s="295">
        <f t="shared" si="72"/>
        <v>43708</v>
      </c>
      <c r="L115" s="428">
        <f t="shared" si="91"/>
        <v>1044337.0699999998</v>
      </c>
      <c r="M115" s="428">
        <f t="shared" si="92"/>
        <v>918395.72</v>
      </c>
      <c r="N115" s="297">
        <f t="shared" si="93"/>
        <v>0.12059454137733508</v>
      </c>
      <c r="P115" s="437">
        <f t="shared" si="88"/>
        <v>185844.76</v>
      </c>
      <c r="Q115" s="437">
        <f t="shared" si="94"/>
        <v>77000</v>
      </c>
    </row>
    <row r="116" spans="1:17" x14ac:dyDescent="0.2">
      <c r="A116" s="295">
        <f t="shared" si="96"/>
        <v>43738</v>
      </c>
      <c r="B116" s="296">
        <f>SUM('Notes - Sep19'!D8:D11)</f>
        <v>112061.63</v>
      </c>
      <c r="C116" s="296">
        <f>SUM('Notes - Aug19'!E11:E14)</f>
        <v>9476.33</v>
      </c>
      <c r="D116" s="296">
        <f>SUM('Notes - Sep19'!F8:F11)</f>
        <v>918395.72</v>
      </c>
      <c r="F116" s="295">
        <f t="shared" si="87"/>
        <v>43738</v>
      </c>
      <c r="G116" s="428">
        <f t="shared" si="95"/>
        <v>112061.63</v>
      </c>
      <c r="H116" s="428">
        <f t="shared" si="89"/>
        <v>84378.79</v>
      </c>
      <c r="I116" s="297">
        <f t="shared" si="90"/>
        <v>0.24703228036215438</v>
      </c>
      <c r="K116" s="295">
        <f t="shared" si="72"/>
        <v>43738</v>
      </c>
      <c r="L116" s="428">
        <f t="shared" si="91"/>
        <v>927872.04999999993</v>
      </c>
      <c r="M116" s="428">
        <f t="shared" si="92"/>
        <v>1001942.2699999999</v>
      </c>
      <c r="N116" s="297">
        <f t="shared" si="93"/>
        <v>-7.9828053878764835E-2</v>
      </c>
      <c r="P116" s="435">
        <f t="shared" si="88"/>
        <v>-268160.44999999995</v>
      </c>
      <c r="Q116" s="435">
        <f t="shared" si="94"/>
        <v>-20000</v>
      </c>
    </row>
    <row r="117" spans="1:17" x14ac:dyDescent="0.2">
      <c r="A117" s="295">
        <f t="shared" si="96"/>
        <v>43769</v>
      </c>
      <c r="B117" s="296">
        <f>SUM('Notes - Oct19'!D8:D11)</f>
        <v>59820.66</v>
      </c>
      <c r="C117" s="296">
        <f>SUM('Notes - Oct19'!E8:E11)</f>
        <v>84378.79</v>
      </c>
      <c r="D117" s="296">
        <f>SUM('Notes - Oct19'!F8:F11)</f>
        <v>1001942.2699999999</v>
      </c>
      <c r="F117" s="295">
        <f t="shared" si="87"/>
        <v>43769</v>
      </c>
      <c r="G117" s="428">
        <f t="shared" si="95"/>
        <v>59820.66</v>
      </c>
      <c r="H117" s="428">
        <f t="shared" si="89"/>
        <v>45447.29</v>
      </c>
      <c r="I117" s="297">
        <f t="shared" si="90"/>
        <v>0.24027434668891987</v>
      </c>
      <c r="K117" s="295">
        <f t="shared" si="72"/>
        <v>43769</v>
      </c>
      <c r="L117" s="428">
        <f t="shared" si="91"/>
        <v>1086321.0599999998</v>
      </c>
      <c r="M117" s="428">
        <f t="shared" si="92"/>
        <v>1023262.87</v>
      </c>
      <c r="N117" s="297">
        <f t="shared" si="93"/>
        <v>5.8047470791001546E-2</v>
      </c>
      <c r="P117" s="441">
        <f t="shared" si="88"/>
        <v>106208.04000000004</v>
      </c>
      <c r="Q117" s="441">
        <f t="shared" si="94"/>
        <v>-48000</v>
      </c>
    </row>
    <row r="118" spans="1:17" x14ac:dyDescent="0.2">
      <c r="A118" s="295">
        <f t="shared" si="96"/>
        <v>43799</v>
      </c>
      <c r="B118" s="296">
        <f>SUM('Notes - Nov19'!D8:D11)</f>
        <v>113958.01</v>
      </c>
      <c r="C118" s="296">
        <f>SUM('Notes - Nov19'!E8:E11)</f>
        <v>45447.29</v>
      </c>
      <c r="D118" s="296">
        <f>SUM('Notes - Nov19'!F8:F11)</f>
        <v>1023262.87</v>
      </c>
      <c r="F118" s="295">
        <f t="shared" si="87"/>
        <v>43799</v>
      </c>
      <c r="G118" s="428">
        <f t="shared" si="95"/>
        <v>113958.01</v>
      </c>
      <c r="H118" s="428">
        <f t="shared" ref="H118:H126" si="97">C119</f>
        <v>92078.17</v>
      </c>
      <c r="I118" s="297">
        <f t="shared" ref="I118:I126" si="98">(G118-H118)/G118</f>
        <v>0.19199914073613603</v>
      </c>
      <c r="K118" s="295">
        <f t="shared" si="72"/>
        <v>43799</v>
      </c>
      <c r="L118" s="428">
        <f t="shared" ref="L118:L123" si="99">SUM(C118:D118)</f>
        <v>1068710.1599999999</v>
      </c>
      <c r="M118" s="428">
        <f t="shared" ref="M118:M126" si="100">D119</f>
        <v>961791.4800000001</v>
      </c>
      <c r="N118" s="297">
        <f t="shared" ref="N118:N126" si="101">(L118-M118)/L118</f>
        <v>0.10004459955728298</v>
      </c>
      <c r="P118" s="437">
        <f t="shared" si="88"/>
        <v>36526.449999999953</v>
      </c>
      <c r="Q118" s="437">
        <f t="shared" si="94"/>
        <v>76000</v>
      </c>
    </row>
    <row r="119" spans="1:17" x14ac:dyDescent="0.2">
      <c r="A119" s="295">
        <f t="shared" si="96"/>
        <v>43830</v>
      </c>
      <c r="B119" s="296">
        <f>SUM('Notes - Dec19'!D8:D11)</f>
        <v>116303.36</v>
      </c>
      <c r="C119" s="296">
        <f>SUM('Notes - Dec19'!E8:E11)</f>
        <v>92078.17</v>
      </c>
      <c r="D119" s="296">
        <f>SUM('Notes - Dec19'!F8:F11)</f>
        <v>961791.4800000001</v>
      </c>
      <c r="F119" s="295">
        <f t="shared" si="87"/>
        <v>43830</v>
      </c>
      <c r="G119" s="428">
        <f t="shared" si="95"/>
        <v>116303.36</v>
      </c>
      <c r="H119" s="428">
        <f t="shared" si="97"/>
        <v>60069.25</v>
      </c>
      <c r="I119" s="297">
        <f t="shared" si="98"/>
        <v>0.48351234220576261</v>
      </c>
      <c r="K119" s="295">
        <f t="shared" si="72"/>
        <v>43830</v>
      </c>
      <c r="L119" s="428">
        <f t="shared" si="99"/>
        <v>1053869.6500000001</v>
      </c>
      <c r="M119" s="428">
        <f t="shared" si="100"/>
        <v>1000500.4900000001</v>
      </c>
      <c r="N119" s="297">
        <f t="shared" si="101"/>
        <v>5.0641139537513036E-2</v>
      </c>
      <c r="P119" s="435">
        <f t="shared" ref="P119:P124" si="102">SUM(B119:D119)-SUM(B118:D118)</f>
        <v>-12495.159999999916</v>
      </c>
      <c r="Q119" s="435">
        <f t="shared" ref="Q119:Q125" si="103">ROUND(AVERAGE(P41,P44,P47,P50,P53,P56,P59,P62,P65,P68,P71,P74,P77,P80,P83,P86,P89,P92,P95,P98,P101,P104,P107,P110,P113,P116,P119),-3)</f>
        <v>-20000</v>
      </c>
    </row>
    <row r="120" spans="1:17" x14ac:dyDescent="0.2">
      <c r="A120" s="295">
        <f t="shared" si="96"/>
        <v>43861</v>
      </c>
      <c r="B120" s="296">
        <f>SUM('Notes - Jan20'!D8:D11)</f>
        <v>52375.939999999995</v>
      </c>
      <c r="C120" s="296">
        <f>SUM('Notes - Jan20'!E8:E11)</f>
        <v>60069.25</v>
      </c>
      <c r="D120" s="296">
        <f>SUM('Notes - Jan20'!F8:F11)</f>
        <v>1000500.4900000001</v>
      </c>
      <c r="F120" s="295">
        <f t="shared" si="87"/>
        <v>43861</v>
      </c>
      <c r="G120" s="428">
        <f t="shared" si="95"/>
        <v>52375.939999999995</v>
      </c>
      <c r="H120" s="428">
        <f t="shared" si="97"/>
        <v>35612.46</v>
      </c>
      <c r="I120" s="297">
        <f t="shared" si="98"/>
        <v>0.32006069962658423</v>
      </c>
      <c r="K120" s="295">
        <f t="shared" si="72"/>
        <v>43861</v>
      </c>
      <c r="L120" s="428">
        <f t="shared" si="99"/>
        <v>1060569.7400000002</v>
      </c>
      <c r="M120" s="428">
        <f t="shared" si="100"/>
        <v>974737.21</v>
      </c>
      <c r="N120" s="297">
        <f t="shared" si="101"/>
        <v>8.0930585479461484E-2</v>
      </c>
      <c r="P120" s="441">
        <f t="shared" si="102"/>
        <v>-57227.329999999842</v>
      </c>
      <c r="Q120" s="441">
        <f t="shared" si="103"/>
        <v>-50000</v>
      </c>
    </row>
    <row r="121" spans="1:17" x14ac:dyDescent="0.2">
      <c r="A121" s="295">
        <f t="shared" si="96"/>
        <v>43890</v>
      </c>
      <c r="B121" s="296">
        <f>SUM('Notes - Feb20'!D8:D11)</f>
        <v>94856.349999999991</v>
      </c>
      <c r="C121" s="296">
        <f>SUM('Notes - Feb20'!E8:E11)</f>
        <v>35612.46</v>
      </c>
      <c r="D121" s="296">
        <f>SUM('Notes - Feb20'!F8:F11)</f>
        <v>974737.21</v>
      </c>
      <c r="F121" s="295">
        <f t="shared" si="87"/>
        <v>43890</v>
      </c>
      <c r="G121" s="428">
        <f t="shared" si="95"/>
        <v>94856.349999999991</v>
      </c>
      <c r="H121" s="428">
        <f t="shared" si="97"/>
        <v>78950.23000000001</v>
      </c>
      <c r="I121" s="297">
        <f t="shared" si="98"/>
        <v>0.1676864015956758</v>
      </c>
      <c r="K121" s="295">
        <f t="shared" si="72"/>
        <v>43890</v>
      </c>
      <c r="L121" s="428">
        <f t="shared" si="99"/>
        <v>1010349.6699999999</v>
      </c>
      <c r="M121" s="428">
        <f t="shared" si="100"/>
        <v>968007.42999999993</v>
      </c>
      <c r="N121" s="297">
        <f t="shared" si="101"/>
        <v>4.190850084604867E-2</v>
      </c>
      <c r="P121" s="437">
        <f t="shared" si="102"/>
        <v>-7739.660000000149</v>
      </c>
      <c r="Q121" s="437">
        <f t="shared" si="103"/>
        <v>73000</v>
      </c>
    </row>
    <row r="122" spans="1:17" x14ac:dyDescent="0.2">
      <c r="A122" s="295">
        <f t="shared" si="96"/>
        <v>43921</v>
      </c>
      <c r="B122" s="296">
        <f>SUM('Notes - Mar20'!D8:D11)</f>
        <v>60327.89</v>
      </c>
      <c r="C122" s="296">
        <f>SUM('Notes - Mar20'!E8:E11)</f>
        <v>78950.23000000001</v>
      </c>
      <c r="D122" s="296">
        <f>SUM('Notes - Mar20'!F8:F11)</f>
        <v>968007.42999999993</v>
      </c>
      <c r="F122" s="295">
        <f t="shared" si="87"/>
        <v>43921</v>
      </c>
      <c r="G122" s="428">
        <f t="shared" si="95"/>
        <v>60327.89</v>
      </c>
      <c r="H122" s="428">
        <f t="shared" si="97"/>
        <v>48213.62</v>
      </c>
      <c r="I122" s="297">
        <f t="shared" si="98"/>
        <v>0.20080712254315536</v>
      </c>
      <c r="K122" s="295">
        <f t="shared" si="72"/>
        <v>43921</v>
      </c>
      <c r="L122" s="428">
        <f t="shared" si="99"/>
        <v>1046957.6599999999</v>
      </c>
      <c r="M122" s="428">
        <f t="shared" si="100"/>
        <v>978780.91999999993</v>
      </c>
      <c r="N122" s="297">
        <f t="shared" si="101"/>
        <v>6.5118908437997378E-2</v>
      </c>
      <c r="P122" s="435">
        <f t="shared" si="102"/>
        <v>2079.5299999997951</v>
      </c>
      <c r="Q122" s="435">
        <f t="shared" si="103"/>
        <v>-25000</v>
      </c>
    </row>
    <row r="123" spans="1:17" x14ac:dyDescent="0.2">
      <c r="A123" s="295">
        <f t="shared" si="96"/>
        <v>43951</v>
      </c>
      <c r="B123" s="296">
        <f>SUM('Notes - Apr20'!D8:D11)</f>
        <v>76392.710000000006</v>
      </c>
      <c r="C123" s="296">
        <f>SUM('Notes - Apr20'!E8:E11)</f>
        <v>48213.62</v>
      </c>
      <c r="D123" s="296">
        <f>SUM('Notes - Apr20'!F8:F11)</f>
        <v>978780.91999999993</v>
      </c>
      <c r="F123" s="295">
        <f t="shared" si="87"/>
        <v>43951</v>
      </c>
      <c r="G123" s="428">
        <f t="shared" si="95"/>
        <v>76392.710000000006</v>
      </c>
      <c r="H123" s="428">
        <f t="shared" si="97"/>
        <v>55832.45</v>
      </c>
      <c r="I123" s="297">
        <f t="shared" si="98"/>
        <v>0.26913903172174425</v>
      </c>
      <c r="K123" s="295">
        <f t="shared" si="72"/>
        <v>43951</v>
      </c>
      <c r="L123" s="428">
        <f t="shared" si="99"/>
        <v>1026994.5399999999</v>
      </c>
      <c r="M123" s="428">
        <f t="shared" si="100"/>
        <v>976699.90999999992</v>
      </c>
      <c r="N123" s="297">
        <f t="shared" si="101"/>
        <v>4.8972636212846865E-2</v>
      </c>
      <c r="P123" s="441">
        <f t="shared" si="102"/>
        <v>-3898.2999999998137</v>
      </c>
      <c r="Q123" s="441">
        <f t="shared" si="103"/>
        <v>-49000</v>
      </c>
    </row>
    <row r="124" spans="1:17" x14ac:dyDescent="0.2">
      <c r="A124" s="295">
        <f t="shared" si="96"/>
        <v>43982</v>
      </c>
      <c r="B124" s="296">
        <f>SUM('Notes - May20'!D8:D11)</f>
        <v>147848.59</v>
      </c>
      <c r="C124" s="296">
        <f>SUM('Notes - May20'!E8:E11)</f>
        <v>55832.45</v>
      </c>
      <c r="D124" s="296">
        <f>SUM('Notes - May20'!F8:F11)</f>
        <v>976699.90999999992</v>
      </c>
      <c r="F124" s="295">
        <f t="shared" si="87"/>
        <v>43982</v>
      </c>
      <c r="G124" s="428">
        <f t="shared" si="95"/>
        <v>147848.59</v>
      </c>
      <c r="H124" s="428">
        <f t="shared" si="97"/>
        <v>110439.10999999999</v>
      </c>
      <c r="I124" s="297">
        <f t="shared" si="98"/>
        <v>0.25302561221584874</v>
      </c>
      <c r="K124" s="295">
        <f t="shared" si="72"/>
        <v>43982</v>
      </c>
      <c r="L124" s="428">
        <f t="shared" ref="L124:L145" si="104">SUM(C124:D124)</f>
        <v>1032532.3599999999</v>
      </c>
      <c r="M124" s="428">
        <f t="shared" si="100"/>
        <v>934817.25</v>
      </c>
      <c r="N124" s="297">
        <f t="shared" si="101"/>
        <v>9.4636365682524357E-2</v>
      </c>
      <c r="P124" s="437">
        <f t="shared" si="102"/>
        <v>76993.699999999953</v>
      </c>
      <c r="Q124" s="437">
        <f t="shared" si="103"/>
        <v>71000</v>
      </c>
    </row>
    <row r="125" spans="1:17" x14ac:dyDescent="0.2">
      <c r="A125" s="295">
        <f t="shared" si="96"/>
        <v>44012</v>
      </c>
      <c r="B125" s="296">
        <f>SUM('Notes - Jun20'!D8:D11)</f>
        <v>135714.69</v>
      </c>
      <c r="C125" s="296">
        <f>SUM('Notes - Jun20'!E8:E11)</f>
        <v>110439.10999999999</v>
      </c>
      <c r="D125" s="296">
        <f>SUM('Notes - Jun20'!F8:F11)</f>
        <v>934817.25</v>
      </c>
      <c r="F125" s="295">
        <f t="shared" si="87"/>
        <v>44012</v>
      </c>
      <c r="G125" s="428">
        <f t="shared" si="95"/>
        <v>135714.69</v>
      </c>
      <c r="H125" s="428">
        <f t="shared" si="97"/>
        <v>84110.48000000001</v>
      </c>
      <c r="I125" s="297">
        <f t="shared" si="98"/>
        <v>0.3802404146522384</v>
      </c>
      <c r="K125" s="295">
        <f t="shared" si="72"/>
        <v>44012</v>
      </c>
      <c r="L125" s="428">
        <f t="shared" si="104"/>
        <v>1045256.36</v>
      </c>
      <c r="M125" s="428">
        <f t="shared" si="100"/>
        <v>985320.04999999993</v>
      </c>
      <c r="N125" s="297">
        <f t="shared" si="101"/>
        <v>5.7341253584910074E-2</v>
      </c>
      <c r="P125" s="435">
        <f t="shared" ref="P125:P133" si="105">SUM(B125:D125)-SUM(B124:D124)</f>
        <v>590.10000000009313</v>
      </c>
      <c r="Q125" s="435">
        <f t="shared" si="103"/>
        <v>-25000</v>
      </c>
    </row>
    <row r="126" spans="1:17" x14ac:dyDescent="0.2">
      <c r="A126" s="295">
        <f t="shared" si="96"/>
        <v>44043</v>
      </c>
      <c r="B126" s="296">
        <f>SUM('Notes - Jul20'!D8:D11)</f>
        <v>30936.09</v>
      </c>
      <c r="C126" s="296">
        <f>SUM('Notes - Jul20'!E8:E11)</f>
        <v>84110.48000000001</v>
      </c>
      <c r="D126" s="296">
        <f>SUM('Notes - Jul20'!F8:F11)</f>
        <v>985320.04999999993</v>
      </c>
      <c r="F126" s="295">
        <f t="shared" si="87"/>
        <v>44043</v>
      </c>
      <c r="G126" s="428">
        <f t="shared" ref="G126:G148" si="106">B126</f>
        <v>30936.09</v>
      </c>
      <c r="H126" s="428">
        <f t="shared" si="97"/>
        <v>23018.959999999999</v>
      </c>
      <c r="I126" s="297">
        <f t="shared" si="98"/>
        <v>0.25591889602079643</v>
      </c>
      <c r="K126" s="295">
        <f t="shared" si="72"/>
        <v>44043</v>
      </c>
      <c r="L126" s="428">
        <f t="shared" si="104"/>
        <v>1069430.53</v>
      </c>
      <c r="M126" s="428">
        <f t="shared" si="100"/>
        <v>1009360.76</v>
      </c>
      <c r="N126" s="297">
        <f t="shared" si="101"/>
        <v>5.6169866405441048E-2</v>
      </c>
      <c r="P126" s="441">
        <f t="shared" si="105"/>
        <v>-80604.430000000168</v>
      </c>
      <c r="Q126" s="441">
        <f t="shared" ref="Q126:Q127" si="107">ROUND(AVERAGE(P48,P51,P54,P57,P60,P63,P66,P69,P72,P75,P78,P81,P84,P87,P90,P93,P96,P99,P102,P105,P108,P111,P114,P117,P120,P123,P126),-3)</f>
        <v>-49000</v>
      </c>
    </row>
    <row r="127" spans="1:17" x14ac:dyDescent="0.2">
      <c r="A127" s="295">
        <f t="shared" si="96"/>
        <v>44074</v>
      </c>
      <c r="B127" s="296">
        <f>SUM('Notes - Aug20'!D8:D11)</f>
        <v>168737.45</v>
      </c>
      <c r="C127" s="296">
        <f>SUM('Notes - Aug20'!E8:E11)</f>
        <v>23018.959999999999</v>
      </c>
      <c r="D127" s="296">
        <f>SUM('Notes - Aug20'!F8:F11)</f>
        <v>1009360.76</v>
      </c>
      <c r="F127" s="295">
        <f t="shared" si="87"/>
        <v>44074</v>
      </c>
      <c r="G127" s="428">
        <f t="shared" si="106"/>
        <v>168737.45</v>
      </c>
      <c r="H127" s="428">
        <f t="shared" ref="H127:H140" si="108">C128</f>
        <v>116759.02</v>
      </c>
      <c r="I127" s="297">
        <f t="shared" ref="I127:I140" si="109">(G127-H127)/G127</f>
        <v>0.30804323521541899</v>
      </c>
      <c r="K127" s="295">
        <f t="shared" si="72"/>
        <v>44074</v>
      </c>
      <c r="L127" s="428">
        <f t="shared" si="104"/>
        <v>1032379.72</v>
      </c>
      <c r="M127" s="428">
        <f t="shared" ref="M127:M140" si="110">D128</f>
        <v>971446.91</v>
      </c>
      <c r="N127" s="297">
        <f t="shared" ref="N127:N132" si="111">(L127-M127)/L127</f>
        <v>5.9021703758380631E-2</v>
      </c>
      <c r="P127" s="437">
        <f t="shared" si="105"/>
        <v>100750.55000000005</v>
      </c>
      <c r="Q127" s="437">
        <f t="shared" si="107"/>
        <v>73000</v>
      </c>
    </row>
    <row r="128" spans="1:17" x14ac:dyDescent="0.2">
      <c r="A128" s="295">
        <f t="shared" si="96"/>
        <v>44104</v>
      </c>
      <c r="B128" s="296">
        <f>SUM('Notes - Sep20'!D8:D11)</f>
        <v>92901.040000000008</v>
      </c>
      <c r="C128" s="296">
        <f>SUM('Notes - Sep20'!E8:E11)</f>
        <v>116759.02</v>
      </c>
      <c r="D128" s="296">
        <f>SUM('Notes - Sep20'!F8:F11)</f>
        <v>971446.91</v>
      </c>
      <c r="F128" s="295">
        <f t="shared" si="87"/>
        <v>44104</v>
      </c>
      <c r="G128" s="428">
        <f t="shared" si="106"/>
        <v>92901.040000000008</v>
      </c>
      <c r="H128" s="428">
        <f t="shared" si="108"/>
        <v>74347.149999999994</v>
      </c>
      <c r="I128" s="297">
        <f t="shared" si="109"/>
        <v>0.19971670930702187</v>
      </c>
      <c r="K128" s="295">
        <f t="shared" si="72"/>
        <v>44104</v>
      </c>
      <c r="L128" s="428">
        <f t="shared" si="104"/>
        <v>1088205.93</v>
      </c>
      <c r="M128" s="428">
        <f t="shared" si="110"/>
        <v>1032248.11</v>
      </c>
      <c r="N128" s="297">
        <f t="shared" si="111"/>
        <v>5.1422086994140852E-2</v>
      </c>
      <c r="P128" s="435">
        <f t="shared" si="105"/>
        <v>-20010.199999999953</v>
      </c>
      <c r="Q128" s="435">
        <f t="shared" ref="Q128:Q133" si="112">ROUND(AVERAGE(P50,P53,P56,P59,P62,P65,P68,P71,P74,P77,P80,P83,P86,P89,P92,P95,P98,P101,P104,P107,P110,P113,P116,P119,P122,P125,P128),-3)</f>
        <v>-23000</v>
      </c>
    </row>
    <row r="129" spans="1:17" x14ac:dyDescent="0.2">
      <c r="A129" s="295">
        <f t="shared" si="96"/>
        <v>44135</v>
      </c>
      <c r="B129" s="296">
        <f>SUM('Notes - Oct20'!D8:D11)</f>
        <v>67133.759999999995</v>
      </c>
      <c r="C129" s="296">
        <f>SUM('Notes - Oct20'!E8:E11)</f>
        <v>74347.149999999994</v>
      </c>
      <c r="D129" s="296">
        <f>SUM('Notes - Oct20'!F8:F11)</f>
        <v>1032248.11</v>
      </c>
      <c r="F129" s="295">
        <f t="shared" si="87"/>
        <v>44135</v>
      </c>
      <c r="G129" s="428">
        <f t="shared" si="106"/>
        <v>67133.759999999995</v>
      </c>
      <c r="H129" s="428">
        <f t="shared" si="108"/>
        <v>50424.200000000004</v>
      </c>
      <c r="I129" s="297">
        <f t="shared" si="109"/>
        <v>0.24889951046984396</v>
      </c>
      <c r="K129" s="295">
        <f t="shared" si="72"/>
        <v>44135</v>
      </c>
      <c r="L129" s="428">
        <f t="shared" si="104"/>
        <v>1106595.26</v>
      </c>
      <c r="M129" s="428">
        <f t="shared" si="110"/>
        <v>1040205.23</v>
      </c>
      <c r="N129" s="297">
        <f t="shared" si="111"/>
        <v>5.9994862078118813E-2</v>
      </c>
      <c r="P129" s="441">
        <f t="shared" si="105"/>
        <v>-7377.9499999999534</v>
      </c>
      <c r="Q129" s="441">
        <f t="shared" si="112"/>
        <v>-46000</v>
      </c>
    </row>
    <row r="130" spans="1:17" x14ac:dyDescent="0.2">
      <c r="A130" s="295">
        <f t="shared" si="96"/>
        <v>44165</v>
      </c>
      <c r="B130" s="296">
        <f>SUM('Notes - Nov20'!D8:D11)</f>
        <v>125657.71</v>
      </c>
      <c r="C130" s="296">
        <f>SUM('Notes - Nov20'!E8:E11)</f>
        <v>50424.200000000004</v>
      </c>
      <c r="D130" s="296">
        <f>SUM('Notes - Nov20'!F8:F11)</f>
        <v>1040205.23</v>
      </c>
      <c r="F130" s="295">
        <f t="shared" si="87"/>
        <v>44165</v>
      </c>
      <c r="G130" s="428">
        <f t="shared" si="106"/>
        <v>125657.71</v>
      </c>
      <c r="H130" s="428">
        <f t="shared" si="108"/>
        <v>92863.35</v>
      </c>
      <c r="I130" s="297">
        <f t="shared" si="109"/>
        <v>0.26098167792489613</v>
      </c>
      <c r="K130" s="295">
        <f t="shared" si="72"/>
        <v>44165</v>
      </c>
      <c r="L130" s="428">
        <f t="shared" si="104"/>
        <v>1090629.43</v>
      </c>
      <c r="M130" s="428">
        <f t="shared" si="110"/>
        <v>963583.8</v>
      </c>
      <c r="N130" s="297">
        <f t="shared" si="111"/>
        <v>0.11648835663640572</v>
      </c>
      <c r="P130" s="437">
        <f t="shared" si="105"/>
        <v>42558.119999999879</v>
      </c>
      <c r="Q130" s="437">
        <f t="shared" si="112"/>
        <v>72000</v>
      </c>
    </row>
    <row r="131" spans="1:17" x14ac:dyDescent="0.2">
      <c r="A131" s="295">
        <f t="shared" si="96"/>
        <v>44196</v>
      </c>
      <c r="B131" s="296">
        <f>SUM('Notes - Dec20'!D8:D11)</f>
        <v>237264.19999999998</v>
      </c>
      <c r="C131" s="296">
        <f>SUM('Notes - Dec20'!E8:E11)</f>
        <v>92863.35</v>
      </c>
      <c r="D131" s="296">
        <f>SUM('Notes - Dec20'!F8:F11)</f>
        <v>963583.8</v>
      </c>
      <c r="F131" s="295">
        <f t="shared" si="87"/>
        <v>44196</v>
      </c>
      <c r="G131" s="428">
        <f t="shared" si="106"/>
        <v>237264.19999999998</v>
      </c>
      <c r="H131" s="428">
        <f t="shared" si="108"/>
        <v>46188.08</v>
      </c>
      <c r="I131" s="297">
        <f t="shared" si="109"/>
        <v>0.8053305977050057</v>
      </c>
      <c r="K131" s="295">
        <f t="shared" si="72"/>
        <v>44196</v>
      </c>
      <c r="L131" s="428">
        <f t="shared" si="104"/>
        <v>1056447.1500000001</v>
      </c>
      <c r="M131" s="428">
        <f t="shared" si="110"/>
        <v>1022492.43</v>
      </c>
      <c r="N131" s="297">
        <f t="shared" si="111"/>
        <v>3.2140481423988017E-2</v>
      </c>
      <c r="P131" s="435">
        <f t="shared" si="105"/>
        <v>77424.210000000196</v>
      </c>
      <c r="Q131" s="435">
        <f t="shared" si="112"/>
        <v>-21000</v>
      </c>
    </row>
    <row r="132" spans="1:17" x14ac:dyDescent="0.2">
      <c r="A132" s="295">
        <f t="shared" si="96"/>
        <v>44227</v>
      </c>
      <c r="B132" s="296">
        <f>SUM('Notes - Jan21'!D8:D11)</f>
        <v>67256.27</v>
      </c>
      <c r="C132" s="296">
        <f>SUM('Notes - Jan21'!E8:E11)</f>
        <v>46188.08</v>
      </c>
      <c r="D132" s="296">
        <f>SUM('Notes - Jan21'!F8:F11)</f>
        <v>1022492.43</v>
      </c>
      <c r="F132" s="295">
        <f t="shared" si="87"/>
        <v>44227</v>
      </c>
      <c r="G132" s="428">
        <f t="shared" si="106"/>
        <v>67256.27</v>
      </c>
      <c r="H132" s="428">
        <f t="shared" si="108"/>
        <v>42704.92</v>
      </c>
      <c r="I132" s="297">
        <f t="shared" si="109"/>
        <v>0.36504180205057468</v>
      </c>
      <c r="K132" s="295">
        <f t="shared" si="72"/>
        <v>44227</v>
      </c>
      <c r="L132" s="428">
        <f t="shared" si="104"/>
        <v>1068680.51</v>
      </c>
      <c r="M132" s="428">
        <f t="shared" si="110"/>
        <v>1013885.31</v>
      </c>
      <c r="N132" s="297">
        <f t="shared" si="111"/>
        <v>5.1273696382841259E-2</v>
      </c>
      <c r="P132" s="441">
        <f t="shared" si="105"/>
        <v>-157774.57000000007</v>
      </c>
      <c r="Q132" s="441">
        <f t="shared" si="112"/>
        <v>-50000</v>
      </c>
    </row>
    <row r="133" spans="1:17" x14ac:dyDescent="0.2">
      <c r="A133" s="295">
        <f t="shared" si="96"/>
        <v>44255</v>
      </c>
      <c r="B133" s="296">
        <f>SUM('Notes - Feb21'!D8:D11)</f>
        <v>169091.14</v>
      </c>
      <c r="C133" s="296">
        <f>SUM('Notes - Feb21'!E8:E11)</f>
        <v>42704.92</v>
      </c>
      <c r="D133" s="296">
        <f>SUM('Notes - Feb21'!F8:F11)</f>
        <v>1013885.31</v>
      </c>
      <c r="F133" s="295">
        <f t="shared" si="87"/>
        <v>44255</v>
      </c>
      <c r="G133" s="428">
        <f t="shared" si="106"/>
        <v>169091.14</v>
      </c>
      <c r="H133" s="428">
        <f t="shared" si="108"/>
        <v>141615.5</v>
      </c>
      <c r="I133" s="297">
        <f t="shared" si="109"/>
        <v>0.16249012219090847</v>
      </c>
      <c r="K133" s="295">
        <f t="shared" si="72"/>
        <v>44255</v>
      </c>
      <c r="L133" s="428">
        <f t="shared" si="104"/>
        <v>1056590.23</v>
      </c>
      <c r="M133" s="428">
        <f t="shared" si="110"/>
        <v>1004892.77</v>
      </c>
      <c r="N133" s="297">
        <f t="shared" ref="N133:N140" si="113">(L133-M133)/L133</f>
        <v>4.892858038257647E-2</v>
      </c>
      <c r="P133" s="437">
        <f t="shared" si="105"/>
        <v>89744.590000000084</v>
      </c>
      <c r="Q133" s="437">
        <f t="shared" si="112"/>
        <v>71000</v>
      </c>
    </row>
    <row r="134" spans="1:17" x14ac:dyDescent="0.2">
      <c r="A134" s="295">
        <f t="shared" si="96"/>
        <v>44286</v>
      </c>
      <c r="B134" s="296">
        <f>SUM('Notes - Mar21'!D8:D11)</f>
        <v>147134.84</v>
      </c>
      <c r="C134" s="296">
        <f>SUM('Notes - Mar21'!E8:E11)</f>
        <v>141615.5</v>
      </c>
      <c r="D134" s="296">
        <f>SUM('Notes - Mar21'!F8:F11)</f>
        <v>1004892.77</v>
      </c>
      <c r="F134" s="295">
        <f t="shared" si="87"/>
        <v>44286</v>
      </c>
      <c r="G134" s="428">
        <f t="shared" si="106"/>
        <v>147134.84</v>
      </c>
      <c r="H134" s="428">
        <f t="shared" si="108"/>
        <v>131896.96000000002</v>
      </c>
      <c r="I134" s="297">
        <f t="shared" si="109"/>
        <v>0.10356405049952802</v>
      </c>
      <c r="K134" s="295">
        <f t="shared" si="72"/>
        <v>44286</v>
      </c>
      <c r="L134" s="428">
        <f t="shared" si="104"/>
        <v>1146508.27</v>
      </c>
      <c r="M134" s="428">
        <f t="shared" si="110"/>
        <v>1034028.01</v>
      </c>
      <c r="N134" s="297">
        <f t="shared" si="113"/>
        <v>9.8106802142822747E-2</v>
      </c>
      <c r="P134" s="435">
        <f t="shared" ref="P134:P141" si="114">SUM(B134:D134)-SUM(B133:D133)</f>
        <v>67961.739999999758</v>
      </c>
      <c r="Q134" s="435">
        <f t="shared" ref="Q134:Q141" si="115">ROUND(AVERAGE(P56,P59,P62,P65,P68,P71,P74,P77,P80,P83,P86,P89,P92,P95,P98,P101,P104,P107,P110,P113,P116,P119,P122,P125,P128,P131,P134),-3)</f>
        <v>-18000</v>
      </c>
    </row>
    <row r="135" spans="1:17" x14ac:dyDescent="0.2">
      <c r="A135" s="295">
        <f t="shared" si="96"/>
        <v>44316</v>
      </c>
      <c r="B135" s="296">
        <f>SUM('Notes - Apr21'!D8:D11)</f>
        <v>127134.6</v>
      </c>
      <c r="C135" s="296">
        <f>SUM('Notes - Apr21'!E8:E11)</f>
        <v>131896.96000000002</v>
      </c>
      <c r="D135" s="296">
        <f>SUM('Notes - Apr21'!F8:F11)</f>
        <v>1034028.01</v>
      </c>
      <c r="F135" s="295">
        <f t="shared" si="87"/>
        <v>44316</v>
      </c>
      <c r="G135" s="428">
        <f t="shared" si="106"/>
        <v>127134.6</v>
      </c>
      <c r="H135" s="428">
        <f t="shared" si="108"/>
        <v>111238.54</v>
      </c>
      <c r="I135" s="297">
        <f t="shared" si="109"/>
        <v>0.1250333111521176</v>
      </c>
      <c r="K135" s="295">
        <f t="shared" si="72"/>
        <v>44316</v>
      </c>
      <c r="L135" s="428">
        <f t="shared" si="104"/>
        <v>1165924.97</v>
      </c>
      <c r="M135" s="428">
        <f t="shared" si="110"/>
        <v>1072971.0799999998</v>
      </c>
      <c r="N135" s="297">
        <f t="shared" si="113"/>
        <v>7.9725447513144976E-2</v>
      </c>
      <c r="P135" s="441">
        <f t="shared" si="114"/>
        <v>-583.53999999980442</v>
      </c>
      <c r="Q135" s="441">
        <f t="shared" si="115"/>
        <v>-43000</v>
      </c>
    </row>
    <row r="136" spans="1:17" x14ac:dyDescent="0.2">
      <c r="A136" s="295">
        <f t="shared" si="96"/>
        <v>44347</v>
      </c>
      <c r="B136" s="296">
        <f>SUM('Notes - May21'!D8:D11)</f>
        <v>162910.38</v>
      </c>
      <c r="C136" s="296">
        <f>SUM('Notes - May21'!E8:E11)</f>
        <v>111238.54</v>
      </c>
      <c r="D136" s="296">
        <f>SUM('Notes - May21'!F8:F11)</f>
        <v>1072971.0799999998</v>
      </c>
      <c r="F136" s="295">
        <f t="shared" si="87"/>
        <v>44347</v>
      </c>
      <c r="G136" s="428">
        <f t="shared" si="106"/>
        <v>162910.38</v>
      </c>
      <c r="H136" s="428">
        <f t="shared" si="108"/>
        <v>128661.26000000001</v>
      </c>
      <c r="I136" s="297">
        <f t="shared" si="109"/>
        <v>0.21023289000983236</v>
      </c>
      <c r="K136" s="295">
        <f t="shared" si="72"/>
        <v>44347</v>
      </c>
      <c r="L136" s="428">
        <f t="shared" si="104"/>
        <v>1184209.6199999999</v>
      </c>
      <c r="M136" s="428">
        <f t="shared" si="110"/>
        <v>1072773.54</v>
      </c>
      <c r="N136" s="297">
        <f t="shared" si="113"/>
        <v>9.410165068579654E-2</v>
      </c>
      <c r="P136" s="437">
        <f t="shared" si="114"/>
        <v>54060.429999999702</v>
      </c>
      <c r="Q136" s="437">
        <f t="shared" si="115"/>
        <v>70000</v>
      </c>
    </row>
    <row r="137" spans="1:17" x14ac:dyDescent="0.2">
      <c r="A137" s="295">
        <f t="shared" si="96"/>
        <v>44377</v>
      </c>
      <c r="B137" s="296">
        <f>SUM('Notes - Jun21'!D8:D11)</f>
        <v>183421.31</v>
      </c>
      <c r="C137" s="296">
        <f>SUM('Notes - Jun21'!E8:E11)</f>
        <v>128661.26000000001</v>
      </c>
      <c r="D137" s="296">
        <f>SUM('Notes - Jun21'!F8:F11)</f>
        <v>1072773.54</v>
      </c>
      <c r="F137" s="295">
        <f t="shared" si="87"/>
        <v>44377</v>
      </c>
      <c r="G137" s="428">
        <f t="shared" si="106"/>
        <v>183421.31</v>
      </c>
      <c r="H137" s="428">
        <f t="shared" si="108"/>
        <v>125024.18</v>
      </c>
      <c r="I137" s="297">
        <f t="shared" si="109"/>
        <v>0.31837701955132697</v>
      </c>
      <c r="K137" s="295">
        <f t="shared" si="72"/>
        <v>44377</v>
      </c>
      <c r="L137" s="428">
        <f t="shared" si="104"/>
        <v>1201434.8</v>
      </c>
      <c r="M137" s="428">
        <f t="shared" si="110"/>
        <v>1140623.07</v>
      </c>
      <c r="N137" s="297">
        <f t="shared" si="113"/>
        <v>5.0615921896052934E-2</v>
      </c>
      <c r="P137" s="435">
        <f t="shared" si="114"/>
        <v>37736.110000000335</v>
      </c>
      <c r="Q137" s="435">
        <f t="shared" si="115"/>
        <v>-17000</v>
      </c>
    </row>
    <row r="138" spans="1:17" x14ac:dyDescent="0.2">
      <c r="A138" s="295">
        <f t="shared" si="96"/>
        <v>44408</v>
      </c>
      <c r="B138" s="296">
        <f>SUM('Notes - Jul21'!D8:D11)</f>
        <v>128654.40000000001</v>
      </c>
      <c r="C138" s="296">
        <f>SUM('Notes - Jul21'!E8:E11)</f>
        <v>125024.18</v>
      </c>
      <c r="D138" s="296">
        <f>SUM('Notes - Jul21'!F8:F11)</f>
        <v>1140623.07</v>
      </c>
      <c r="F138" s="295">
        <f t="shared" si="87"/>
        <v>44408</v>
      </c>
      <c r="G138" s="428">
        <f t="shared" si="106"/>
        <v>128654.40000000001</v>
      </c>
      <c r="H138" s="428">
        <f t="shared" si="108"/>
        <v>114426.04</v>
      </c>
      <c r="I138" s="297">
        <f t="shared" si="109"/>
        <v>0.11059365245184008</v>
      </c>
      <c r="K138" s="295">
        <f t="shared" si="72"/>
        <v>44408</v>
      </c>
      <c r="L138" s="428">
        <f t="shared" si="104"/>
        <v>1265647.25</v>
      </c>
      <c r="M138" s="428">
        <f t="shared" si="110"/>
        <v>1142043.81</v>
      </c>
      <c r="N138" s="297">
        <f t="shared" si="113"/>
        <v>9.7660260392459231E-2</v>
      </c>
      <c r="P138" s="441">
        <f t="shared" si="114"/>
        <v>9445.5400000000373</v>
      </c>
      <c r="Q138" s="441">
        <f t="shared" si="115"/>
        <v>-38000</v>
      </c>
    </row>
    <row r="139" spans="1:17" x14ac:dyDescent="0.2">
      <c r="A139" s="295">
        <f t="shared" si="96"/>
        <v>44439</v>
      </c>
      <c r="B139" s="296">
        <f>SUM('Notes - Aug21'!D8:D11)</f>
        <v>202834.19</v>
      </c>
      <c r="C139" s="296">
        <f>SUM('Notes - Aug21'!E8:E11)</f>
        <v>114426.04</v>
      </c>
      <c r="D139" s="296">
        <f>SUM('Notes - Aug21'!F8:F11)</f>
        <v>1142043.81</v>
      </c>
      <c r="F139" s="295">
        <f t="shared" si="87"/>
        <v>44439</v>
      </c>
      <c r="G139" s="428">
        <f t="shared" si="106"/>
        <v>202834.19</v>
      </c>
      <c r="H139" s="428">
        <f t="shared" si="108"/>
        <v>168533.1</v>
      </c>
      <c r="I139" s="297">
        <f t="shared" si="109"/>
        <v>0.1691090146094206</v>
      </c>
      <c r="K139" s="295">
        <f t="shared" si="72"/>
        <v>44439</v>
      </c>
      <c r="L139" s="428">
        <f t="shared" si="104"/>
        <v>1256469.8500000001</v>
      </c>
      <c r="M139" s="428">
        <f t="shared" si="110"/>
        <v>1201829.97</v>
      </c>
      <c r="N139" s="297">
        <f t="shared" si="113"/>
        <v>4.34868214306934E-2</v>
      </c>
      <c r="P139" s="437">
        <f t="shared" si="114"/>
        <v>65002.389999999898</v>
      </c>
      <c r="Q139" s="437">
        <f t="shared" si="115"/>
        <v>69000</v>
      </c>
    </row>
    <row r="140" spans="1:17" x14ac:dyDescent="0.2">
      <c r="A140" s="295">
        <f t="shared" si="96"/>
        <v>44469</v>
      </c>
      <c r="B140" s="296">
        <f>SUM('Notes - Sept21'!D8:D11)</f>
        <v>122051.23</v>
      </c>
      <c r="C140" s="296">
        <f>SUM('Notes - Sept21'!E8:E11)</f>
        <v>168533.1</v>
      </c>
      <c r="D140" s="296">
        <f>SUM('Notes - Sept21'!F8:F11)</f>
        <v>1201829.97</v>
      </c>
      <c r="F140" s="295">
        <f t="shared" si="87"/>
        <v>44469</v>
      </c>
      <c r="G140" s="428">
        <f t="shared" si="106"/>
        <v>122051.23</v>
      </c>
      <c r="H140" s="428">
        <f t="shared" si="108"/>
        <v>59625.46</v>
      </c>
      <c r="I140" s="297">
        <f t="shared" si="109"/>
        <v>0.51147186308568948</v>
      </c>
      <c r="K140" s="295">
        <f t="shared" si="72"/>
        <v>44469</v>
      </c>
      <c r="L140" s="428">
        <f t="shared" si="104"/>
        <v>1370363.07</v>
      </c>
      <c r="M140" s="428">
        <f t="shared" si="110"/>
        <v>1180156.42</v>
      </c>
      <c r="N140" s="297">
        <f t="shared" si="113"/>
        <v>0.13880018672715702</v>
      </c>
      <c r="P140" s="435">
        <f t="shared" si="114"/>
        <v>33110.260000000009</v>
      </c>
      <c r="Q140" s="435">
        <f t="shared" si="115"/>
        <v>-15000</v>
      </c>
    </row>
    <row r="141" spans="1:17" x14ac:dyDescent="0.2">
      <c r="A141" s="295">
        <f t="shared" si="96"/>
        <v>44500</v>
      </c>
      <c r="B141" s="296">
        <f>SUM('Notes - Oct21'!D8:D11)</f>
        <v>841956.19</v>
      </c>
      <c r="C141" s="296">
        <f>SUM('Notes - Oct21'!E8:E11)</f>
        <v>59625.46</v>
      </c>
      <c r="D141" s="296">
        <f>SUM('Notes - Oct21'!F8:F11)</f>
        <v>1180156.42</v>
      </c>
      <c r="F141" s="295">
        <f t="shared" si="87"/>
        <v>44500</v>
      </c>
      <c r="G141" s="428">
        <f t="shared" si="106"/>
        <v>841956.19</v>
      </c>
      <c r="H141" s="428">
        <f t="shared" ref="H141:H142" si="116">C142</f>
        <v>820951.71</v>
      </c>
      <c r="I141" s="297">
        <f t="shared" ref="I141:I142" si="117">(G141-H141)/G141</f>
        <v>2.4947236268908459E-2</v>
      </c>
      <c r="K141" s="295">
        <f t="shared" si="72"/>
        <v>44500</v>
      </c>
      <c r="L141" s="428">
        <f t="shared" si="104"/>
        <v>1239781.8799999999</v>
      </c>
      <c r="M141" s="428">
        <f t="shared" ref="M141" si="118">D142</f>
        <v>1167550.6200000001</v>
      </c>
      <c r="N141" s="297">
        <f t="shared" ref="N141" si="119">(L141-M141)/L141</f>
        <v>5.8261264473392513E-2</v>
      </c>
      <c r="P141" s="441">
        <f t="shared" si="114"/>
        <v>589323.76999999979</v>
      </c>
      <c r="Q141" s="441">
        <f t="shared" si="115"/>
        <v>-15000</v>
      </c>
    </row>
    <row r="142" spans="1:17" x14ac:dyDescent="0.2">
      <c r="A142" s="295">
        <f t="shared" si="96"/>
        <v>44530</v>
      </c>
      <c r="B142" s="296">
        <f>SUM('Notes - Nov21'!D8:D11)</f>
        <v>96615.239999999991</v>
      </c>
      <c r="C142" s="296">
        <f>SUM('Notes - Nov21'!E8:E11)</f>
        <v>820951.71</v>
      </c>
      <c r="D142" s="296">
        <f>SUM('Notes - Nov21'!F8:F11)</f>
        <v>1167550.6200000001</v>
      </c>
      <c r="F142" s="295">
        <f t="shared" si="87"/>
        <v>44530</v>
      </c>
      <c r="G142" s="428">
        <f t="shared" si="106"/>
        <v>96615.239999999991</v>
      </c>
      <c r="H142" s="428">
        <f t="shared" si="116"/>
        <v>63586.83</v>
      </c>
      <c r="I142" s="297">
        <f t="shared" si="117"/>
        <v>0.34185507379581104</v>
      </c>
      <c r="K142" s="295">
        <f t="shared" si="72"/>
        <v>44530</v>
      </c>
      <c r="L142" s="428">
        <f t="shared" si="104"/>
        <v>1988502.33</v>
      </c>
      <c r="M142" s="428">
        <f t="shared" ref="M142" si="120">D143</f>
        <v>1942252.5699999998</v>
      </c>
      <c r="N142" s="297">
        <f t="shared" ref="N142" si="121">(L142-M142)/L142</f>
        <v>2.3258589795064632E-2</v>
      </c>
      <c r="P142" s="437">
        <f t="shared" ref="P142" si="122">SUM(B142:D142)-SUM(B141:D141)</f>
        <v>3379.5000000002328</v>
      </c>
      <c r="Q142" s="437">
        <f t="shared" ref="Q142" si="123">ROUND(AVERAGE(P64,P67,P70,P73,P76,P79,P82,P85,P88,P91,P94,P97,P100,P103,P106,P109,P112,P115,P118,P121,P124,P127,P130,P133,P136,P139,P142),-3)</f>
        <v>67000</v>
      </c>
    </row>
    <row r="143" spans="1:17" x14ac:dyDescent="0.2">
      <c r="A143" s="295">
        <f t="shared" si="96"/>
        <v>44561</v>
      </c>
      <c r="B143" s="296">
        <f>SUM('Notes - Dec21'!D9:D12)</f>
        <v>80587</v>
      </c>
      <c r="C143" s="296">
        <f>SUM('Notes - Dec21'!E9:E12)</f>
        <v>63586.83</v>
      </c>
      <c r="D143" s="296">
        <f>SUM('Notes - Dec21'!F9:F12)</f>
        <v>1942252.5699999998</v>
      </c>
      <c r="F143" s="295">
        <f t="shared" si="87"/>
        <v>44561</v>
      </c>
      <c r="G143" s="428">
        <f t="shared" si="106"/>
        <v>80587</v>
      </c>
      <c r="H143" s="428">
        <f t="shared" ref="H143" si="124">C144</f>
        <v>81812.259999999995</v>
      </c>
      <c r="I143" s="297">
        <f t="shared" ref="I143" si="125">(G143-H143)/G143</f>
        <v>-1.5204189261295182E-2</v>
      </c>
      <c r="K143" s="295">
        <f t="shared" si="72"/>
        <v>44561</v>
      </c>
      <c r="L143" s="428">
        <f t="shared" si="104"/>
        <v>2005839.4</v>
      </c>
      <c r="M143" s="428">
        <f t="shared" ref="M143" si="126">D144</f>
        <v>1935981.6300000001</v>
      </c>
      <c r="N143" s="297">
        <f t="shared" ref="N143" si="127">(L143-M143)/L143</f>
        <v>3.4827200024089559E-2</v>
      </c>
      <c r="P143" s="435">
        <f t="shared" ref="P143" si="128">SUM(B143:D143)-SUM(B142:D142)</f>
        <v>1308.8299999998417</v>
      </c>
      <c r="Q143" s="435">
        <f t="shared" ref="Q143" si="129">ROUND(AVERAGE(P65,P68,P71,P74,P77,P80,P83,P86,P89,P92,P95,P98,P101,P104,P107,P110,P113,P116,P119,P122,P125,P128,P131,P134,P137,P140,P143),-3)</f>
        <v>-13000</v>
      </c>
    </row>
    <row r="144" spans="1:17" x14ac:dyDescent="0.2">
      <c r="A144" s="295">
        <f t="shared" si="96"/>
        <v>44592</v>
      </c>
      <c r="B144" s="296">
        <f>SUM('Notes - Jan22'!D8:D11)</f>
        <v>84198.399999999994</v>
      </c>
      <c r="C144" s="296">
        <f>SUM('Notes - Jan22'!E8:E11)</f>
        <v>81812.259999999995</v>
      </c>
      <c r="D144" s="296">
        <f>SUM('Notes - Jan22'!F8:F11)</f>
        <v>1935981.6300000001</v>
      </c>
      <c r="F144" s="295">
        <f t="shared" si="87"/>
        <v>44592</v>
      </c>
      <c r="G144" s="428">
        <f t="shared" si="106"/>
        <v>84198.399999999994</v>
      </c>
      <c r="H144" s="428">
        <f t="shared" ref="H144" si="130">C145</f>
        <v>46837.229999999996</v>
      </c>
      <c r="I144" s="297">
        <f t="shared" ref="I144:I146" si="131">(G144-H144)/G144</f>
        <v>0.44372779055183947</v>
      </c>
      <c r="K144" s="295">
        <f t="shared" si="72"/>
        <v>44592</v>
      </c>
      <c r="L144" s="428">
        <f t="shared" si="104"/>
        <v>2017793.8900000001</v>
      </c>
      <c r="M144" s="428">
        <f t="shared" ref="M144" si="132">D145</f>
        <v>1894700.1300000001</v>
      </c>
      <c r="N144" s="297">
        <f t="shared" ref="N144:N146" si="133">(L144-M144)/L144</f>
        <v>6.1004129614050918E-2</v>
      </c>
      <c r="P144" s="441">
        <f t="shared" ref="P144:P146" si="134">SUM(B144:D144)-SUM(B143:D143)</f>
        <v>15565.89000000013</v>
      </c>
      <c r="Q144" s="441">
        <f t="shared" ref="Q144:Q146" si="135">ROUND(AVERAGE(P66,P69,P72,P75,P78,P81,P84,P87,P90,P93,P96,P99,P102,P105,P108,P111,P114,P117,P120,P123,P126,P129,P132,P135,P138,P141,P144),-3)</f>
        <v>-12000</v>
      </c>
    </row>
    <row r="145" spans="1:17" x14ac:dyDescent="0.2">
      <c r="A145" s="295">
        <f t="shared" si="96"/>
        <v>44620</v>
      </c>
      <c r="B145" s="296">
        <f>SUM('Notes - Feb22'!D8:D11)</f>
        <v>185343.96</v>
      </c>
      <c r="C145" s="296">
        <f>SUM('Notes - Feb22'!E8:E11)</f>
        <v>46837.229999999996</v>
      </c>
      <c r="D145" s="296">
        <f>SUM('Notes - Feb22'!F8:F11)</f>
        <v>1894700.1300000001</v>
      </c>
      <c r="F145" s="295">
        <f t="shared" si="87"/>
        <v>44620</v>
      </c>
      <c r="G145" s="428">
        <f t="shared" si="106"/>
        <v>185343.96</v>
      </c>
      <c r="H145" s="428">
        <f t="shared" ref="H145:H150" si="136">C146</f>
        <v>87335.65</v>
      </c>
      <c r="I145" s="297">
        <f t="shared" si="131"/>
        <v>0.5287914966314522</v>
      </c>
      <c r="K145" s="295">
        <f t="shared" si="72"/>
        <v>44620</v>
      </c>
      <c r="L145" s="428">
        <f t="shared" si="104"/>
        <v>1941537.36</v>
      </c>
      <c r="M145" s="428">
        <f t="shared" ref="M145:M150" si="137">D146</f>
        <v>1831905.02</v>
      </c>
      <c r="N145" s="297">
        <f t="shared" si="133"/>
        <v>5.6466768169735386E-2</v>
      </c>
      <c r="P145" s="437">
        <f t="shared" si="134"/>
        <v>24889.030000000261</v>
      </c>
      <c r="Q145" s="437">
        <f t="shared" si="135"/>
        <v>65000</v>
      </c>
    </row>
    <row r="146" spans="1:17" x14ac:dyDescent="0.2">
      <c r="A146" s="295">
        <f t="shared" si="96"/>
        <v>44651</v>
      </c>
      <c r="B146" s="296">
        <f>SUM('Notes - March22'!D8:D11)</f>
        <v>132520.64000000001</v>
      </c>
      <c r="C146" s="296">
        <f>SUM('Notes - March22'!E8:E11)</f>
        <v>87335.65</v>
      </c>
      <c r="D146" s="296">
        <f>SUM('Notes - March22'!F8:F11)</f>
        <v>1831905.02</v>
      </c>
      <c r="F146" s="295">
        <f t="shared" si="87"/>
        <v>44651</v>
      </c>
      <c r="G146" s="428">
        <f t="shared" si="106"/>
        <v>132520.64000000001</v>
      </c>
      <c r="H146" s="428">
        <f t="shared" si="136"/>
        <v>49060.989999999991</v>
      </c>
      <c r="I146" s="297">
        <f t="shared" si="131"/>
        <v>0.6297860469131451</v>
      </c>
      <c r="K146" s="295">
        <f t="shared" si="72"/>
        <v>44651</v>
      </c>
      <c r="L146" s="428">
        <f t="shared" ref="L146:L163" si="138">SUM(C146:D146)</f>
        <v>1919240.67</v>
      </c>
      <c r="M146" s="428">
        <f t="shared" si="137"/>
        <v>1848063.5199999998</v>
      </c>
      <c r="N146" s="297">
        <f t="shared" si="133"/>
        <v>3.7086099264455531E-2</v>
      </c>
      <c r="P146" s="435">
        <f t="shared" si="134"/>
        <v>-75120.010000000242</v>
      </c>
      <c r="Q146" s="435">
        <f t="shared" si="135"/>
        <v>-13000</v>
      </c>
    </row>
    <row r="147" spans="1:17" x14ac:dyDescent="0.2">
      <c r="A147" s="295">
        <f t="shared" si="96"/>
        <v>44681</v>
      </c>
      <c r="B147" s="296">
        <f>SUM('Notes - April22'!D8:D11)</f>
        <v>39124.639999999999</v>
      </c>
      <c r="C147" s="296">
        <f>SUM('Notes - April22'!E8:E11)</f>
        <v>49060.989999999991</v>
      </c>
      <c r="D147" s="296">
        <f>SUM('Notes - April22'!F8:F11)</f>
        <v>1848063.5199999998</v>
      </c>
      <c r="F147" s="295">
        <f t="shared" si="87"/>
        <v>44681</v>
      </c>
      <c r="G147" s="428">
        <f t="shared" si="106"/>
        <v>39124.639999999999</v>
      </c>
      <c r="H147" s="428">
        <f t="shared" si="136"/>
        <v>28797.1</v>
      </c>
      <c r="I147" s="297">
        <f t="shared" ref="I147" si="139">(G147-H147)/G147</f>
        <v>0.26396511252244115</v>
      </c>
      <c r="K147" s="295">
        <f t="shared" si="72"/>
        <v>44681</v>
      </c>
      <c r="L147" s="428">
        <f t="shared" si="138"/>
        <v>1897124.5099999998</v>
      </c>
      <c r="M147" s="428">
        <f t="shared" si="137"/>
        <v>1827928.1600000001</v>
      </c>
      <c r="N147" s="297">
        <f t="shared" ref="N147" si="140">(L147-M147)/L147</f>
        <v>3.6474332409526265E-2</v>
      </c>
      <c r="P147" s="441">
        <f t="shared" ref="P147" si="141">SUM(B147:D147)-SUM(B146:D146)</f>
        <v>-115512.16000000038</v>
      </c>
      <c r="Q147" s="441">
        <f t="shared" ref="Q147" si="142">ROUND(AVERAGE(P69,P72,P75,P78,P81,P84,P87,P90,P93,P96,P99,P102,P105,P108,P111,P114,P117,P120,P123,P126,P129,P132,P135,P138,P141,P144,P147),-3)</f>
        <v>-16000</v>
      </c>
    </row>
    <row r="148" spans="1:17" x14ac:dyDescent="0.2">
      <c r="A148" s="295">
        <f t="shared" si="96"/>
        <v>44712</v>
      </c>
      <c r="B148" s="296">
        <f>SUM('Notes - May22'!D8:D11)</f>
        <v>120848.15</v>
      </c>
      <c r="C148" s="296">
        <f>SUM('Notes - May22'!E8:E11)</f>
        <v>28797.1</v>
      </c>
      <c r="D148" s="296">
        <f>SUM('Notes - May22'!F8:F11)</f>
        <v>1827928.1600000001</v>
      </c>
      <c r="F148" s="295">
        <f t="shared" si="87"/>
        <v>44712</v>
      </c>
      <c r="G148" s="296">
        <f t="shared" si="106"/>
        <v>120848.15</v>
      </c>
      <c r="H148" s="428">
        <f t="shared" si="136"/>
        <v>82400.61</v>
      </c>
      <c r="I148" s="297">
        <f t="shared" ref="I148:I149" si="143">(G148-H148)/G148</f>
        <v>0.31814752646192762</v>
      </c>
      <c r="K148" s="295">
        <f t="shared" si="72"/>
        <v>44712</v>
      </c>
      <c r="L148" s="296">
        <f t="shared" si="138"/>
        <v>1856725.2600000002</v>
      </c>
      <c r="M148" s="428">
        <f t="shared" si="137"/>
        <v>1795812.05</v>
      </c>
      <c r="N148" s="297">
        <f t="shared" ref="N148" si="144">(L148-M148)/L148</f>
        <v>3.2806797705762988E-2</v>
      </c>
      <c r="P148" s="437">
        <f t="shared" ref="P148" si="145">SUM(B148:D148)-SUM(B147:D147)</f>
        <v>41324.260000000475</v>
      </c>
      <c r="Q148" s="437">
        <f t="shared" ref="Q148" si="146">ROUND(AVERAGE(P70,P73,P76,P79,P82,P85,P88,P91,P94,P97,P100,P103,P106,P109,P112,P115,P118,P121,P124,P127,P130,P133,P136,P139,P142,P145,P148),-3)</f>
        <v>65000</v>
      </c>
    </row>
    <row r="149" spans="1:17" x14ac:dyDescent="0.2">
      <c r="A149" s="295">
        <f t="shared" si="96"/>
        <v>44742</v>
      </c>
      <c r="B149" s="296">
        <f>SUM('Notes - June22'!D8:D11)</f>
        <v>168567.28000000003</v>
      </c>
      <c r="C149" s="296">
        <f>SUM('Notes - June22'!E8:E11)</f>
        <v>82400.61</v>
      </c>
      <c r="D149" s="296">
        <f>SUM('Notes - June22'!F8:F11)</f>
        <v>1795812.05</v>
      </c>
      <c r="F149" s="295">
        <f t="shared" si="87"/>
        <v>44742</v>
      </c>
      <c r="G149" s="296">
        <f t="shared" ref="G149:G163" si="147">B149</f>
        <v>168567.28000000003</v>
      </c>
      <c r="H149" s="428">
        <f t="shared" si="136"/>
        <v>76909.119999999995</v>
      </c>
      <c r="I149" s="297">
        <f t="shared" si="143"/>
        <v>0.54374822919370835</v>
      </c>
      <c r="K149" s="295">
        <f t="shared" ref="K149:K161" si="148">EOMONTH(K148,1)</f>
        <v>44742</v>
      </c>
      <c r="L149" s="296">
        <f t="shared" si="138"/>
        <v>1878212.6600000001</v>
      </c>
      <c r="M149" s="428">
        <f t="shared" si="137"/>
        <v>1785433.9</v>
      </c>
      <c r="N149" s="297">
        <f t="shared" ref="N149" si="149">(L149-M149)/L149</f>
        <v>4.9397366962695394E-2</v>
      </c>
      <c r="P149" s="435">
        <f t="shared" ref="P149" si="150">SUM(B149:D149)-SUM(B148:D148)</f>
        <v>69206.529999999795</v>
      </c>
      <c r="Q149" s="435">
        <f t="shared" ref="Q149" si="151">ROUND(AVERAGE(P71,P74,P77,P80,P83,P86,P89,P92,P95,P98,P101,P104,P107,P110,P113,P116,P119,P122,P125,P128,P131,P134,P137,P140,P143,P146,P149),-3)</f>
        <v>-9000</v>
      </c>
    </row>
    <row r="150" spans="1:17" x14ac:dyDescent="0.2">
      <c r="A150" s="295">
        <f t="shared" si="96"/>
        <v>44773</v>
      </c>
      <c r="B150" s="296">
        <f>SUM('Notes - July22'!D8:D11)</f>
        <v>167174.04</v>
      </c>
      <c r="C150" s="296">
        <f>SUM('Notes - July22'!E8:E11)</f>
        <v>76909.119999999995</v>
      </c>
      <c r="D150" s="296">
        <f>SUM('Notes - July22'!F8:F11)</f>
        <v>1785433.9</v>
      </c>
      <c r="F150" s="295">
        <f t="shared" si="87"/>
        <v>44773</v>
      </c>
      <c r="G150" s="296">
        <f t="shared" si="147"/>
        <v>167174.04</v>
      </c>
      <c r="H150" s="428">
        <f t="shared" si="136"/>
        <v>51487</v>
      </c>
      <c r="I150" s="297">
        <f t="shared" ref="I150" si="152">(G150-H150)/G150</f>
        <v>0.69201557849532147</v>
      </c>
      <c r="K150" s="295">
        <f t="shared" si="148"/>
        <v>44773</v>
      </c>
      <c r="L150" s="296">
        <f t="shared" si="138"/>
        <v>1862343.02</v>
      </c>
      <c r="M150" s="428">
        <f t="shared" si="137"/>
        <v>1786810.6300000001</v>
      </c>
      <c r="N150" s="297">
        <f t="shared" ref="N150" si="153">(L150-M150)/L150</f>
        <v>4.0557721745589005E-2</v>
      </c>
      <c r="P150" s="441">
        <f t="shared" ref="P150" si="154">SUM(B150:D150)-SUM(B149:D149)</f>
        <v>-17262.880000000121</v>
      </c>
      <c r="Q150" s="441">
        <f t="shared" ref="Q150" si="155">ROUND(AVERAGE(P72,P75,P78,P81,P84,P87,P90,P93,P96,P99,P102,P105,P108,P111,P114,P117,P120,P123,P126,P129,P132,P135,P138,P141,P144,P147,P150),-3)</f>
        <v>-15000</v>
      </c>
    </row>
    <row r="151" spans="1:17" x14ac:dyDescent="0.2">
      <c r="A151" s="295">
        <f t="shared" si="96"/>
        <v>44804</v>
      </c>
      <c r="B151" s="296">
        <f>SUM('Notes - AUG22'!D8:D11)</f>
        <v>204746.04000000004</v>
      </c>
      <c r="C151" s="296">
        <f>SUM('Notes - AUG22'!E8:E11)</f>
        <v>51487</v>
      </c>
      <c r="D151" s="296">
        <f>SUM('Notes - AUG22'!F8:F11)</f>
        <v>1786810.6300000001</v>
      </c>
      <c r="F151" s="295">
        <f t="shared" si="87"/>
        <v>44804</v>
      </c>
      <c r="G151" s="296">
        <f t="shared" si="147"/>
        <v>204746.04000000004</v>
      </c>
      <c r="H151" s="428">
        <f t="shared" ref="H151" si="156">C152</f>
        <v>79429.94</v>
      </c>
      <c r="I151" s="297">
        <f t="shared" ref="I151" si="157">(G151-H151)/G151</f>
        <v>0.61205628201649231</v>
      </c>
      <c r="K151" s="295">
        <f t="shared" si="148"/>
        <v>44804</v>
      </c>
      <c r="L151" s="296">
        <f t="shared" si="138"/>
        <v>1838297.6300000001</v>
      </c>
      <c r="M151" s="428">
        <f t="shared" ref="M151" si="158">D152</f>
        <v>1774040.9400000002</v>
      </c>
      <c r="N151" s="297">
        <f t="shared" ref="N151" si="159">(L151-M151)/L151</f>
        <v>3.4954454029296624E-2</v>
      </c>
      <c r="P151" s="437">
        <f t="shared" ref="P151" si="160">SUM(B151:D151)-SUM(B150:D150)</f>
        <v>13526.610000000335</v>
      </c>
      <c r="Q151" s="437">
        <f t="shared" ref="Q151" si="161">ROUND(AVERAGE(P73,P76,P79,P82,P85,P88,P91,P94,P97,P100,P103,P106,P109,P112,P115,P118,P121,P124,P127,P130,P133,P136,P139,P142,P145,P148,P151),-3)</f>
        <v>62000</v>
      </c>
    </row>
    <row r="152" spans="1:17" x14ac:dyDescent="0.2">
      <c r="A152" s="295">
        <f t="shared" si="96"/>
        <v>44834</v>
      </c>
      <c r="B152" s="296">
        <f>SUM('Notes - Sep22'!D8:D11)</f>
        <v>49153.43</v>
      </c>
      <c r="C152" s="296">
        <f>SUM('Notes - Sep22'!E8:E11)</f>
        <v>79429.94</v>
      </c>
      <c r="D152" s="296">
        <f>SUM('Notes - Sep22'!F8:F11)</f>
        <v>1774040.9400000002</v>
      </c>
      <c r="F152" s="295">
        <f t="shared" si="87"/>
        <v>44834</v>
      </c>
      <c r="G152" s="296">
        <f t="shared" si="147"/>
        <v>49153.43</v>
      </c>
      <c r="H152" s="428">
        <f t="shared" ref="H152" si="162">C153</f>
        <v>35197.949999999997</v>
      </c>
      <c r="I152" s="297">
        <f t="shared" ref="I152" si="163">(G152-H152)/G152</f>
        <v>0.28391670733863339</v>
      </c>
      <c r="K152" s="295">
        <f t="shared" si="148"/>
        <v>44834</v>
      </c>
      <c r="L152" s="296">
        <f t="shared" si="138"/>
        <v>1853470.8800000001</v>
      </c>
      <c r="M152" s="428">
        <f t="shared" ref="M152" si="164">D153</f>
        <v>1754637.2000000002</v>
      </c>
      <c r="N152" s="297">
        <f t="shared" ref="N152" si="165">(L152-M152)/L152</f>
        <v>5.3323567727160584E-2</v>
      </c>
      <c r="P152" s="435">
        <f t="shared" ref="P152" si="166">SUM(B152:D152)-SUM(B151:D151)</f>
        <v>-140419.3600000001</v>
      </c>
      <c r="Q152" s="435">
        <f t="shared" ref="Q152" si="167">ROUND(AVERAGE(P74,P77,P80,P83,P86,P89,P92,P95,P98,P101,P104,P107,P110,P113,P116,P119,P122,P125,P128,P131,P134,P137,P140,P143,P146,P149,P152),-3)</f>
        <v>-13000</v>
      </c>
    </row>
    <row r="153" spans="1:17" x14ac:dyDescent="0.2">
      <c r="A153" s="295">
        <f t="shared" si="96"/>
        <v>44865</v>
      </c>
      <c r="B153" s="296">
        <f>SUM('Notes - Oct22'!D8:D11)</f>
        <v>55601.399999999994</v>
      </c>
      <c r="C153" s="296">
        <f>SUM('Notes - Oct22'!E8:E11)</f>
        <v>35197.949999999997</v>
      </c>
      <c r="D153" s="296">
        <f>SUM('Notes - Oct22'!F8:F11)</f>
        <v>1754637.2000000002</v>
      </c>
      <c r="F153" s="295">
        <f t="shared" si="87"/>
        <v>44865</v>
      </c>
      <c r="G153" s="296">
        <f t="shared" si="147"/>
        <v>55601.399999999994</v>
      </c>
      <c r="H153" s="428">
        <f t="shared" ref="H153" si="168">C154</f>
        <v>35009.1</v>
      </c>
      <c r="I153" s="297">
        <f t="shared" ref="I153" si="169">(G153-H153)/G153</f>
        <v>0.37035578240835659</v>
      </c>
      <c r="K153" s="295">
        <f t="shared" si="148"/>
        <v>44865</v>
      </c>
      <c r="L153" s="296">
        <f t="shared" si="138"/>
        <v>1789835.1500000001</v>
      </c>
      <c r="M153" s="428">
        <f t="shared" ref="M153" si="170">D154</f>
        <v>1741458.1099999999</v>
      </c>
      <c r="N153" s="297">
        <f t="shared" ref="N153" si="171">(L153-M153)/L153</f>
        <v>2.7028768543293089E-2</v>
      </c>
      <c r="P153" s="441">
        <f t="shared" ref="P153" si="172">SUM(B153:D153)-SUM(B152:D152)</f>
        <v>-57187.759999999776</v>
      </c>
      <c r="Q153" s="441">
        <f t="shared" ref="Q153" si="173">ROUND(AVERAGE(P75,P78,P81,P84,P87,P90,P93,P96,P99,P102,P105,P108,P111,P114,P117,P120,P123,P126,P129,P132,P135,P138,P141,P144,P147,P150,P153),-3)</f>
        <v>-17000</v>
      </c>
    </row>
    <row r="154" spans="1:17" x14ac:dyDescent="0.2">
      <c r="A154" s="295">
        <f t="shared" si="96"/>
        <v>44895</v>
      </c>
      <c r="B154" s="296">
        <f>SUM('Notes - Nov22'!D8:D11)</f>
        <v>119734.44</v>
      </c>
      <c r="C154" s="296">
        <f>SUM('Notes - Nov22'!E8:E11)</f>
        <v>35009.1</v>
      </c>
      <c r="D154" s="296">
        <f>SUM('Notes - Nov22'!F8:F11)</f>
        <v>1741458.1099999999</v>
      </c>
      <c r="F154" s="295">
        <f t="shared" si="87"/>
        <v>44895</v>
      </c>
      <c r="G154" s="296">
        <f t="shared" si="147"/>
        <v>119734.44</v>
      </c>
      <c r="H154" s="428">
        <f t="shared" ref="H154" si="174">C155</f>
        <v>90924.05</v>
      </c>
      <c r="I154" s="297">
        <f t="shared" ref="I154" si="175">(G154-H154)/G154</f>
        <v>0.2406190733426406</v>
      </c>
      <c r="K154" s="295">
        <f t="shared" si="148"/>
        <v>44895</v>
      </c>
      <c r="L154" s="296">
        <f t="shared" si="138"/>
        <v>1776467.21</v>
      </c>
      <c r="M154" s="428">
        <f t="shared" ref="M154" si="176">D155</f>
        <v>974337.65000000014</v>
      </c>
      <c r="N154" s="297">
        <f t="shared" ref="N154" si="177">(L154-M154)/L154</f>
        <v>0.4515307434241918</v>
      </c>
      <c r="P154" s="437">
        <f t="shared" ref="P154" si="178">SUM(B154:D154)-SUM(B153:D153)</f>
        <v>50765.099999999627</v>
      </c>
      <c r="Q154" s="437">
        <f t="shared" ref="Q154" si="179">ROUND(AVERAGE(P76,P79,P82,P85,P88,P91,P94,P97,P100,P103,P106,P109,P112,P115,P118,P121,P124,P127,P130,P133,P136,P139,P142,P145,P148,P151,P154),-3)</f>
        <v>63000</v>
      </c>
    </row>
    <row r="155" spans="1:17" x14ac:dyDescent="0.2">
      <c r="A155" s="295">
        <f t="shared" si="96"/>
        <v>44926</v>
      </c>
      <c r="B155" s="296">
        <f>SUM('Notes - Dec22'!D8:D11)</f>
        <v>58655.69</v>
      </c>
      <c r="C155" s="296">
        <f>SUM('Notes - Dec22'!E8:E11)</f>
        <v>90924.05</v>
      </c>
      <c r="D155" s="296">
        <f>SUM('Notes - Dec22'!F8:F11)</f>
        <v>974337.65000000014</v>
      </c>
      <c r="F155" s="295">
        <f t="shared" si="87"/>
        <v>44926</v>
      </c>
      <c r="G155" s="296">
        <f t="shared" si="147"/>
        <v>58655.69</v>
      </c>
      <c r="H155" s="428">
        <f t="shared" ref="H155:H156" si="180">C156</f>
        <v>45457.26</v>
      </c>
      <c r="I155" s="297">
        <f t="shared" ref="I155:I156" si="181">(G155-H155)/G155</f>
        <v>0.22501533951778591</v>
      </c>
      <c r="K155" s="295">
        <f t="shared" si="148"/>
        <v>44926</v>
      </c>
      <c r="L155" s="296">
        <f t="shared" si="138"/>
        <v>1065261.7000000002</v>
      </c>
      <c r="M155" s="428">
        <f t="shared" ref="M155:M156" si="182">D156</f>
        <v>1006602.3500000001</v>
      </c>
      <c r="N155" s="297">
        <f t="shared" ref="N155:N156" si="183">(L155-M155)/L155</f>
        <v>5.5065670717345874E-2</v>
      </c>
      <c r="P155" s="435">
        <f t="shared" ref="P155" si="184">SUM(B155:D155)-SUM(B154:D154)</f>
        <v>-772284.25999999978</v>
      </c>
      <c r="Q155" s="435">
        <f t="shared" ref="Q155" si="185">ROUND(AVERAGE(P77,P80,P83,P86,P89,P92,P95,P98,P101,P104,P107,P110,P113,P116,P119,P122,P125,P128,P131,P134,P137,P140,P143,P146,P149,P152,P155),-3)</f>
        <v>-40000</v>
      </c>
    </row>
    <row r="156" spans="1:17" x14ac:dyDescent="0.2">
      <c r="A156" s="295">
        <f t="shared" si="96"/>
        <v>44957</v>
      </c>
      <c r="B156" s="296">
        <f>SUM('Notes - Jan23'!D8:D11)</f>
        <v>64057.259999999995</v>
      </c>
      <c r="C156" s="296">
        <f>SUM('Notes - Jan23'!E8:E11)</f>
        <v>45457.26</v>
      </c>
      <c r="D156" s="296">
        <f>SUM('Notes - Jan23'!F8:F11)</f>
        <v>1006602.3500000001</v>
      </c>
      <c r="F156" s="295">
        <f t="shared" si="87"/>
        <v>44957</v>
      </c>
      <c r="G156" s="296">
        <f t="shared" si="147"/>
        <v>64057.259999999995</v>
      </c>
      <c r="H156" s="428">
        <f t="shared" si="180"/>
        <v>41014.93</v>
      </c>
      <c r="I156" s="297">
        <f t="shared" si="181"/>
        <v>0.35971457411696967</v>
      </c>
      <c r="K156" s="295">
        <f t="shared" si="148"/>
        <v>44957</v>
      </c>
      <c r="L156" s="296">
        <f t="shared" si="138"/>
        <v>1052059.6100000001</v>
      </c>
      <c r="M156" s="428">
        <f t="shared" si="182"/>
        <v>964010.89</v>
      </c>
      <c r="N156" s="297">
        <f t="shared" si="183"/>
        <v>8.3691759633277893E-2</v>
      </c>
      <c r="P156" s="437">
        <f t="shared" ref="P156:P157" si="186">SUM(B156:D156)-SUM(B155:D155)</f>
        <v>-7800.5200000000186</v>
      </c>
      <c r="Q156" s="437">
        <f t="shared" ref="Q156:Q157" si="187">ROUND(AVERAGE(P78,P81,P84,P87,P90,P93,P96,P99,P102,P105,P108,P111,P114,P117,P120,P123,P126,P129,P132,P135,P138,P141,P144,P147,P150,P153,P156),-3)</f>
        <v>-17000</v>
      </c>
    </row>
    <row r="157" spans="1:17" x14ac:dyDescent="0.2">
      <c r="A157" s="295">
        <f t="shared" si="96"/>
        <v>44985</v>
      </c>
      <c r="B157" s="296">
        <f>SUM('Notes - Feb23'!D8:D11)</f>
        <v>244429.47</v>
      </c>
      <c r="C157" s="296">
        <f>SUM('Notes - Feb23'!E8:E11)</f>
        <v>41014.93</v>
      </c>
      <c r="D157" s="296">
        <f>SUM('Notes - Feb23'!F8:F11)</f>
        <v>964010.89</v>
      </c>
      <c r="F157" s="295">
        <f t="shared" si="87"/>
        <v>44985</v>
      </c>
      <c r="G157" s="296">
        <f t="shared" si="147"/>
        <v>244429.47</v>
      </c>
      <c r="H157" s="428">
        <f t="shared" ref="H157:H162" si="188">C158</f>
        <v>194965.9</v>
      </c>
      <c r="I157" s="297">
        <f t="shared" ref="I157:I162" si="189">(G157-H157)/G157</f>
        <v>0.2023633647775778</v>
      </c>
      <c r="K157" s="295">
        <f t="shared" si="148"/>
        <v>44985</v>
      </c>
      <c r="L157" s="296">
        <f t="shared" si="138"/>
        <v>1005025.8200000001</v>
      </c>
      <c r="M157" s="428">
        <f t="shared" ref="M157:M162" si="190">D158</f>
        <v>943730.12999999989</v>
      </c>
      <c r="N157" s="297">
        <f t="shared" ref="N157:N162" si="191">(L157-M157)/L157</f>
        <v>6.0989169412583026E-2</v>
      </c>
      <c r="P157" s="441">
        <f t="shared" si="186"/>
        <v>133338.41999999993</v>
      </c>
      <c r="Q157" s="441">
        <f t="shared" si="187"/>
        <v>64000</v>
      </c>
    </row>
    <row r="158" spans="1:17" x14ac:dyDescent="0.2">
      <c r="A158" s="295">
        <f t="shared" si="96"/>
        <v>45016</v>
      </c>
      <c r="B158" s="296">
        <f>SUM('Notes - Mar23'!D8:D11)</f>
        <v>63766.03</v>
      </c>
      <c r="C158" s="296">
        <f>SUM('Notes - Mar23'!E8:E11)</f>
        <v>194965.9</v>
      </c>
      <c r="D158" s="296">
        <f>SUM('Notes - Mar23'!F8:F11)</f>
        <v>943730.12999999989</v>
      </c>
      <c r="F158" s="295">
        <f t="shared" si="87"/>
        <v>45016</v>
      </c>
      <c r="G158" s="296">
        <f t="shared" si="147"/>
        <v>63766.03</v>
      </c>
      <c r="H158" s="428">
        <f t="shared" si="188"/>
        <v>54362.8</v>
      </c>
      <c r="I158" s="297">
        <f t="shared" si="189"/>
        <v>0.14746456694889107</v>
      </c>
      <c r="K158" s="295">
        <f t="shared" si="148"/>
        <v>45016</v>
      </c>
      <c r="L158" s="296">
        <f t="shared" si="138"/>
        <v>1138696.0299999998</v>
      </c>
      <c r="M158" s="428">
        <f t="shared" si="190"/>
        <v>1088714.1299999999</v>
      </c>
      <c r="N158" s="297">
        <f t="shared" si="191"/>
        <v>4.3893979326510797E-2</v>
      </c>
      <c r="P158" s="437">
        <f t="shared" ref="P158:P162" si="192">SUM(B158:D158)-SUM(B157:D157)</f>
        <v>-46993.230000000214</v>
      </c>
      <c r="Q158" s="437">
        <f t="shared" ref="Q158:Q162" si="193">ROUND(AVERAGE(P80,P83,P86,P89,P92,P95,P98,P101,P104,P107,P110,P113,P116,P119,P122,P125,P128,P131,P134,P137,P140,P143,P146,P149,P152,P155,P158),-3)</f>
        <v>-41000</v>
      </c>
    </row>
    <row r="159" spans="1:17" x14ac:dyDescent="0.2">
      <c r="A159" s="295">
        <f t="shared" si="96"/>
        <v>45046</v>
      </c>
      <c r="B159" s="296">
        <f>SUM('Notes - Apr23'!D8:D11)</f>
        <v>57763</v>
      </c>
      <c r="C159" s="296">
        <f>SUM('Notes - Apr23'!E8:E11)</f>
        <v>54362.8</v>
      </c>
      <c r="D159" s="296">
        <f>SUM('Notes - Apr23'!F8:F11)</f>
        <v>1088714.1299999999</v>
      </c>
      <c r="F159" s="295">
        <f t="shared" si="87"/>
        <v>45046</v>
      </c>
      <c r="G159" s="296">
        <f t="shared" si="147"/>
        <v>57763</v>
      </c>
      <c r="H159" s="428">
        <f t="shared" si="188"/>
        <v>48618.89</v>
      </c>
      <c r="I159" s="297">
        <f t="shared" si="189"/>
        <v>0.15830393158250092</v>
      </c>
      <c r="K159" s="295">
        <f t="shared" si="148"/>
        <v>45046</v>
      </c>
      <c r="L159" s="296">
        <f t="shared" si="138"/>
        <v>1143076.93</v>
      </c>
      <c r="M159" s="428">
        <f t="shared" si="190"/>
        <v>1073664.5</v>
      </c>
      <c r="N159" s="297">
        <f t="shared" si="191"/>
        <v>6.0724198151737643E-2</v>
      </c>
      <c r="P159" s="435">
        <f t="shared" si="192"/>
        <v>-1622.1299999998882</v>
      </c>
      <c r="Q159" s="435">
        <f t="shared" si="193"/>
        <v>-14000</v>
      </c>
    </row>
    <row r="160" spans="1:17" x14ac:dyDescent="0.2">
      <c r="A160" s="295">
        <f t="shared" si="96"/>
        <v>45077</v>
      </c>
      <c r="B160" s="296">
        <f>SUM('Notes - May23'!D8:D11)</f>
        <v>118118.5</v>
      </c>
      <c r="C160" s="296">
        <f>SUM('Notes - May23'!E8:E11)</f>
        <v>48618.89</v>
      </c>
      <c r="D160" s="296">
        <f>SUM('Notes - May23'!F8:F11)</f>
        <v>1073664.5</v>
      </c>
      <c r="F160" s="295">
        <f t="shared" si="87"/>
        <v>45077</v>
      </c>
      <c r="G160" s="296">
        <f t="shared" si="147"/>
        <v>118118.5</v>
      </c>
      <c r="H160" s="428">
        <f t="shared" si="188"/>
        <v>85179.510000000009</v>
      </c>
      <c r="I160" s="297">
        <f t="shared" si="189"/>
        <v>0.27886393748650712</v>
      </c>
      <c r="K160" s="295">
        <f t="shared" si="148"/>
        <v>45077</v>
      </c>
      <c r="L160" s="296">
        <f t="shared" si="138"/>
        <v>1122283.3899999999</v>
      </c>
      <c r="M160" s="428">
        <f t="shared" si="190"/>
        <v>1079273.07</v>
      </c>
      <c r="N160" s="297">
        <f t="shared" si="191"/>
        <v>3.8323938840438367E-2</v>
      </c>
      <c r="P160" s="441">
        <f t="shared" si="192"/>
        <v>39561.960000000196</v>
      </c>
      <c r="Q160" s="441">
        <f t="shared" si="193"/>
        <v>66000</v>
      </c>
    </row>
    <row r="161" spans="1:17" x14ac:dyDescent="0.2">
      <c r="A161" s="295">
        <f t="shared" si="96"/>
        <v>45107</v>
      </c>
      <c r="B161" s="296">
        <f>SUM('Notes - Jun23'!D8:D11)</f>
        <v>79252.33</v>
      </c>
      <c r="C161" s="296">
        <f>SUM('Notes - Jun23'!E8:E11)</f>
        <v>85179.510000000009</v>
      </c>
      <c r="D161" s="296">
        <f>SUM('Notes - Jun23'!F8:F11)</f>
        <v>1079273.07</v>
      </c>
      <c r="F161" s="295">
        <f t="shared" si="87"/>
        <v>45107</v>
      </c>
      <c r="G161" s="296">
        <f t="shared" si="147"/>
        <v>79252.33</v>
      </c>
      <c r="H161" s="428">
        <f t="shared" si="188"/>
        <v>68476.39</v>
      </c>
      <c r="I161" s="297">
        <f t="shared" si="189"/>
        <v>0.13597000870510687</v>
      </c>
      <c r="K161" s="295">
        <f t="shared" si="148"/>
        <v>45107</v>
      </c>
      <c r="L161" s="296">
        <f t="shared" si="138"/>
        <v>1164452.58</v>
      </c>
      <c r="M161" s="428">
        <f t="shared" si="190"/>
        <v>1111819.31</v>
      </c>
      <c r="N161" s="297">
        <f t="shared" si="191"/>
        <v>4.5200011493812843E-2</v>
      </c>
      <c r="P161" s="437">
        <f t="shared" si="192"/>
        <v>3303.0200000000186</v>
      </c>
      <c r="Q161" s="437">
        <f t="shared" si="193"/>
        <v>-39000</v>
      </c>
    </row>
    <row r="162" spans="1:17" x14ac:dyDescent="0.2">
      <c r="A162" s="295">
        <v>45108</v>
      </c>
      <c r="B162" s="296">
        <f>SUM('Notes - Jul23'!D8:D11)</f>
        <v>64453.249999999993</v>
      </c>
      <c r="C162" s="296">
        <f>SUM('Notes - Jul23'!E8:E11)</f>
        <v>68476.39</v>
      </c>
      <c r="D162" s="296">
        <f>SUM('Notes - Jul23'!F8:F11)</f>
        <v>1111819.31</v>
      </c>
      <c r="F162" s="295">
        <v>45108</v>
      </c>
      <c r="G162" s="296">
        <f t="shared" si="147"/>
        <v>64453.249999999993</v>
      </c>
      <c r="H162" s="428">
        <f t="shared" si="188"/>
        <v>52936.369999999995</v>
      </c>
      <c r="I162" s="297">
        <f t="shared" si="189"/>
        <v>0.17868579163967679</v>
      </c>
      <c r="K162" s="295">
        <v>45108</v>
      </c>
      <c r="L162" s="296">
        <f t="shared" si="138"/>
        <v>1180295.7</v>
      </c>
      <c r="M162" s="428">
        <f t="shared" si="190"/>
        <v>1137144.97</v>
      </c>
      <c r="N162" s="297">
        <f t="shared" si="191"/>
        <v>3.6559253753106091E-2</v>
      </c>
      <c r="P162" s="435">
        <f t="shared" si="192"/>
        <v>1044.0399999998044</v>
      </c>
      <c r="Q162" s="435">
        <f t="shared" si="193"/>
        <v>-14000</v>
      </c>
    </row>
    <row r="163" spans="1:17" x14ac:dyDescent="0.2">
      <c r="A163" s="295">
        <v>45139</v>
      </c>
      <c r="B163" s="296">
        <f>SUM('Notes - Aug23'!D8:D11)</f>
        <v>123782.95000000001</v>
      </c>
      <c r="C163" s="296">
        <f>SUM('Notes - Aug23'!E8:E11)</f>
        <v>52936.369999999995</v>
      </c>
      <c r="D163" s="296">
        <f>SUM('Notes - Aug23'!F8:F11)</f>
        <v>1137144.97</v>
      </c>
      <c r="F163" s="295">
        <v>45139</v>
      </c>
      <c r="G163" s="296">
        <f t="shared" si="147"/>
        <v>123782.95000000001</v>
      </c>
      <c r="H163" s="428">
        <f t="shared" ref="H163:H164" si="194">C164</f>
        <v>98105.7</v>
      </c>
      <c r="I163" s="297">
        <f t="shared" ref="I163:I164" si="195">(G163-H163)/G163</f>
        <v>0.20743769638710349</v>
      </c>
      <c r="K163" s="295">
        <v>45139</v>
      </c>
      <c r="L163" s="296">
        <f t="shared" si="138"/>
        <v>1190081.3399999999</v>
      </c>
      <c r="M163" s="428">
        <f t="shared" ref="M163:M164" si="196">D164</f>
        <v>1140165.98</v>
      </c>
      <c r="N163" s="297">
        <f t="shared" ref="N163:N164" si="197">(L163-M163)/L163</f>
        <v>4.1942813757587252E-2</v>
      </c>
      <c r="P163" s="441">
        <f t="shared" ref="P163:P164" si="198">SUM(B163:D163)-SUM(B162:D162)</f>
        <v>69115.340000000084</v>
      </c>
      <c r="Q163" s="441">
        <f t="shared" ref="Q163:Q164" si="199">ROUND(AVERAGE(P85,P88,P91,P94,P97,P100,P103,P106,P109,P112,P115,P118,P121,P124,P127,P130,P133,P136,P139,P142,P145,P148,P151,P154,P157,P160,P163),-3)</f>
        <v>66000</v>
      </c>
    </row>
    <row r="164" spans="1:17" x14ac:dyDescent="0.2">
      <c r="A164" s="295">
        <v>45170</v>
      </c>
      <c r="B164" s="296">
        <f>SUM('Notes - Sep23'!D8:D11)</f>
        <v>89194.849999999991</v>
      </c>
      <c r="C164" s="296">
        <f>SUM('Notes - Sep23'!E8:E11)</f>
        <v>98105.7</v>
      </c>
      <c r="D164" s="296">
        <f>SUM('Notes - Sep23'!F8:F11)</f>
        <v>1140165.98</v>
      </c>
      <c r="F164" s="295">
        <v>45170</v>
      </c>
      <c r="G164" s="296">
        <f t="shared" ref="G164:G185" si="200">B164</f>
        <v>89194.849999999991</v>
      </c>
      <c r="H164" s="428">
        <f t="shared" si="194"/>
        <v>69330.13</v>
      </c>
      <c r="I164" s="297">
        <f t="shared" si="195"/>
        <v>0.22271151305260325</v>
      </c>
      <c r="K164" s="295">
        <v>45170</v>
      </c>
      <c r="L164" s="296">
        <f t="shared" ref="L164:L185" si="201">SUM(C164:D164)</f>
        <v>1238271.68</v>
      </c>
      <c r="M164" s="428">
        <f t="shared" si="196"/>
        <v>1185447.6100000001</v>
      </c>
      <c r="N164" s="297">
        <f t="shared" si="197"/>
        <v>4.2659515559622455E-2</v>
      </c>
      <c r="P164" s="437">
        <f t="shared" si="198"/>
        <v>13602.239999999991</v>
      </c>
      <c r="Q164" s="437">
        <f t="shared" si="199"/>
        <v>-41000</v>
      </c>
    </row>
    <row r="165" spans="1:17" x14ac:dyDescent="0.2">
      <c r="A165" s="295">
        <v>45200</v>
      </c>
      <c r="B165" s="296">
        <f>SUM('Notes - Oct23'!D8:D11)</f>
        <v>72833.5</v>
      </c>
      <c r="C165" s="296">
        <f>SUM('Notes - Oct23'!E8:E11)</f>
        <v>69330.13</v>
      </c>
      <c r="D165" s="296">
        <f>SUM('Notes - Oct23'!F8:F11)</f>
        <v>1185447.6100000001</v>
      </c>
      <c r="F165" s="295">
        <v>45200</v>
      </c>
      <c r="G165" s="296">
        <f t="shared" si="200"/>
        <v>72833.5</v>
      </c>
      <c r="H165" s="428">
        <f t="shared" ref="H165" si="202">C166</f>
        <v>53201.440000000002</v>
      </c>
      <c r="I165" s="297">
        <f t="shared" ref="I165" si="203">(G165-H165)/G165</f>
        <v>0.26954711774114931</v>
      </c>
      <c r="K165" s="295">
        <v>45200</v>
      </c>
      <c r="L165" s="296">
        <f t="shared" si="201"/>
        <v>1254777.7400000002</v>
      </c>
      <c r="M165" s="428">
        <f t="shared" ref="M165" si="204">D166</f>
        <v>1194927.26</v>
      </c>
      <c r="N165" s="297">
        <f t="shared" ref="N165" si="205">(L165-M165)/L165</f>
        <v>4.7698072807699159E-2</v>
      </c>
      <c r="P165" s="435">
        <f t="shared" ref="P165" si="206">SUM(B165:D165)-SUM(B164:D164)</f>
        <v>144.71000000019558</v>
      </c>
      <c r="Q165" s="435">
        <f t="shared" ref="Q165" si="207">ROUND(AVERAGE(P87,P90,P93,P96,P99,P102,P105,P108,P111,P114,P117,P120,P123,P126,P129,P132,P135,P138,P141,P144,P147,P150,P153,P156,P159,P162,P165),-3)</f>
        <v>-11000</v>
      </c>
    </row>
    <row r="166" spans="1:17" x14ac:dyDescent="0.2">
      <c r="A166" s="295">
        <v>45231</v>
      </c>
      <c r="B166" s="296">
        <f>SUM('Notes - Nov23'!D8:D11)</f>
        <v>131391.03</v>
      </c>
      <c r="C166" s="296">
        <f>SUM('Notes - Nov23'!E8:E11)</f>
        <v>53201.440000000002</v>
      </c>
      <c r="D166" s="296">
        <f>SUM('Notes - Nov23'!F8:F11)</f>
        <v>1194927.26</v>
      </c>
      <c r="F166" s="295">
        <v>45231</v>
      </c>
      <c r="G166" s="296">
        <f t="shared" si="200"/>
        <v>131391.03</v>
      </c>
      <c r="H166" s="428">
        <f t="shared" ref="H166:H168" si="208">C167</f>
        <v>74256.36</v>
      </c>
      <c r="I166" s="297">
        <f t="shared" ref="I166:I168" si="209">(G166-H166)/G166</f>
        <v>0.43484452477463642</v>
      </c>
      <c r="K166" s="295">
        <v>45231</v>
      </c>
      <c r="L166" s="296">
        <f t="shared" si="201"/>
        <v>1248128.7</v>
      </c>
      <c r="M166" s="428">
        <f t="shared" ref="M166:M168" si="210">D167</f>
        <v>1196687.31</v>
      </c>
      <c r="N166" s="297">
        <f t="shared" ref="N166:N168" si="211">(L166-M166)/L166</f>
        <v>4.1214812222489475E-2</v>
      </c>
      <c r="P166" s="441">
        <f t="shared" ref="P166:P168" si="212">SUM(B166:D166)-SUM(B165:D165)</f>
        <v>51908.489999999758</v>
      </c>
      <c r="Q166" s="441">
        <f t="shared" ref="Q166:Q168" si="213">ROUND(AVERAGE(P88,P91,P94,P97,P100,P103,P106,P109,P112,P115,P118,P121,P124,P127,P130,P133,P136,P139,P142,P145,P148,P151,P154,P157,P160,P163,P166),-3)</f>
        <v>65000</v>
      </c>
    </row>
    <row r="167" spans="1:17" x14ac:dyDescent="0.2">
      <c r="A167" s="295">
        <v>45261</v>
      </c>
      <c r="B167" s="296">
        <f>SUM('Notes - Dec23'!D8:D11)</f>
        <v>78342.61</v>
      </c>
      <c r="C167" s="296">
        <f>SUM('Notes - Dec23'!E8:E11)</f>
        <v>74256.36</v>
      </c>
      <c r="D167" s="296">
        <f>SUM('Notes - Dec23'!F8:F11)</f>
        <v>1196687.31</v>
      </c>
      <c r="F167" s="295">
        <v>45261</v>
      </c>
      <c r="G167" s="296">
        <f t="shared" si="200"/>
        <v>78342.61</v>
      </c>
      <c r="H167" s="428">
        <f t="shared" si="208"/>
        <v>52916.010000000009</v>
      </c>
      <c r="I167" s="297">
        <f t="shared" si="209"/>
        <v>0.32455645784586434</v>
      </c>
      <c r="K167" s="295">
        <v>45261</v>
      </c>
      <c r="L167" s="296">
        <f t="shared" si="201"/>
        <v>1270943.6700000002</v>
      </c>
      <c r="M167" s="428">
        <f t="shared" si="210"/>
        <v>1195927.3899999999</v>
      </c>
      <c r="N167" s="297">
        <f t="shared" si="211"/>
        <v>5.9024079328394034E-2</v>
      </c>
      <c r="P167" s="437">
        <f t="shared" si="212"/>
        <v>-30233.449999999953</v>
      </c>
      <c r="Q167" s="437">
        <f t="shared" si="213"/>
        <v>-40000</v>
      </c>
    </row>
    <row r="168" spans="1:17" x14ac:dyDescent="0.2">
      <c r="A168" s="295">
        <v>45292</v>
      </c>
      <c r="B168" s="296">
        <f>SUM('Notes - Jan24'!D8:D11)</f>
        <v>88009.62999999999</v>
      </c>
      <c r="C168" s="296">
        <f>SUM('Notes - Jan24'!E8:E11)</f>
        <v>52916.010000000009</v>
      </c>
      <c r="D168" s="296">
        <f>SUM('Notes - Jan24'!F8:F11)</f>
        <v>1195927.3899999999</v>
      </c>
      <c r="F168" s="295">
        <v>45292</v>
      </c>
      <c r="G168" s="296">
        <f t="shared" si="200"/>
        <v>88009.62999999999</v>
      </c>
      <c r="H168" s="428">
        <f t="shared" si="208"/>
        <v>57433.03</v>
      </c>
      <c r="I168" s="297">
        <f t="shared" si="209"/>
        <v>0.34742334446809964</v>
      </c>
      <c r="K168" s="295">
        <v>45292</v>
      </c>
      <c r="L168" s="296">
        <f t="shared" si="201"/>
        <v>1248843.3999999999</v>
      </c>
      <c r="M168" s="428">
        <f t="shared" si="210"/>
        <v>1203537.02</v>
      </c>
      <c r="N168" s="297">
        <f t="shared" si="211"/>
        <v>3.6278671929562897E-2</v>
      </c>
      <c r="P168" s="435">
        <f t="shared" si="212"/>
        <v>-12433.250000000233</v>
      </c>
      <c r="Q168" s="435">
        <f t="shared" si="213"/>
        <v>-11000</v>
      </c>
    </row>
    <row r="169" spans="1:17" x14ac:dyDescent="0.2">
      <c r="A169" s="295">
        <v>45323</v>
      </c>
      <c r="B169" s="296">
        <f>SUM('Notes - Feb24'!D8:D11)</f>
        <v>129042.66999999998</v>
      </c>
      <c r="C169" s="296">
        <f>SUM('Notes - Feb24'!E8:E11)</f>
        <v>57433.03</v>
      </c>
      <c r="D169" s="296">
        <f>SUM('Notes - Feb24'!F8:F11)</f>
        <v>1203537.02</v>
      </c>
      <c r="F169" s="295">
        <v>45323</v>
      </c>
      <c r="G169" s="296">
        <f t="shared" si="200"/>
        <v>129042.66999999998</v>
      </c>
      <c r="H169" s="428">
        <f t="shared" ref="H169" si="214">C170</f>
        <v>104981.63</v>
      </c>
      <c r="I169" s="297">
        <f t="shared" ref="I169" si="215">(G169-H169)/G169</f>
        <v>0.18645801423668606</v>
      </c>
      <c r="K169" s="295">
        <v>45323</v>
      </c>
      <c r="L169" s="296">
        <f t="shared" si="201"/>
        <v>1260970.05</v>
      </c>
      <c r="M169" s="428">
        <f t="shared" ref="M169" si="216">D170</f>
        <v>1201255.3500000001</v>
      </c>
      <c r="N169" s="297">
        <f t="shared" ref="N169" si="217">(L169-M169)/L169</f>
        <v>4.7356160441717032E-2</v>
      </c>
      <c r="P169" s="441">
        <f t="shared" ref="P169" si="218">SUM(B169:D169)-SUM(B168:D168)</f>
        <v>53159.690000000177</v>
      </c>
      <c r="Q169" s="441">
        <f t="shared" ref="Q169" si="219">ROUND(AVERAGE(P91,P94,P97,P100,P103,P106,P109,P112,P115,P118,P121,P124,P127,P130,P133,P136,P139,P142,P145,P148,P151,P154,P157,P160,P163,P166,P169),-3)</f>
        <v>63000</v>
      </c>
    </row>
    <row r="170" spans="1:17" x14ac:dyDescent="0.2">
      <c r="A170" s="295">
        <v>45352</v>
      </c>
      <c r="B170" s="296">
        <f>SUM('Notes - Mar24'!D8:D11)</f>
        <v>118345.31</v>
      </c>
      <c r="C170" s="296">
        <f>SUM('Notes - Mar24'!E8:E11)</f>
        <v>104981.63</v>
      </c>
      <c r="D170" s="296">
        <f>SUM('Notes - Mar24'!F8:F11)</f>
        <v>1201255.3500000001</v>
      </c>
      <c r="F170" s="295">
        <v>45352</v>
      </c>
      <c r="G170" s="296">
        <f t="shared" si="200"/>
        <v>118345.31</v>
      </c>
      <c r="H170" s="428">
        <f t="shared" ref="H170:H171" si="220">C171</f>
        <v>99245.63</v>
      </c>
      <c r="I170" s="297">
        <f t="shared" ref="I170:I172" si="221">(G170-H170)/G170</f>
        <v>0.16138941205190127</v>
      </c>
      <c r="K170" s="295">
        <v>45352</v>
      </c>
      <c r="L170" s="296">
        <f t="shared" si="201"/>
        <v>1306236.98</v>
      </c>
      <c r="M170" s="428">
        <f t="shared" ref="M170:M172" si="222">D171</f>
        <v>1247928.07</v>
      </c>
      <c r="N170" s="297">
        <f t="shared" ref="N170:N172" si="223">(L170-M170)/L170</f>
        <v>4.4638844936084963E-2</v>
      </c>
      <c r="P170" s="437">
        <f t="shared" ref="P170:P172" si="224">SUM(B170:D170)-SUM(B169:D169)</f>
        <v>34569.570000000065</v>
      </c>
      <c r="Q170" s="437">
        <f t="shared" ref="Q170:Q172" si="225">ROUND(AVERAGE(P92,P95,P98,P101,P104,P107,P110,P113,P116,P119,P122,P125,P128,P131,P134,P137,P140,P143,P146,P149,P152,P155,P158,P161,P164,P167,P170),-3)</f>
        <v>-35000</v>
      </c>
    </row>
    <row r="171" spans="1:17" x14ac:dyDescent="0.2">
      <c r="A171" s="295">
        <v>45383</v>
      </c>
      <c r="B171" s="296">
        <f>SUM('Notes - Apr24'!D8:D11)</f>
        <v>77644.200000000012</v>
      </c>
      <c r="C171" s="296">
        <f>SUM('Notes - Apr24'!E8:E11)</f>
        <v>99245.63</v>
      </c>
      <c r="D171" s="296">
        <f>SUM('Notes - Apr24'!F8:F11)</f>
        <v>1247928.07</v>
      </c>
      <c r="F171" s="295">
        <v>45383</v>
      </c>
      <c r="G171" s="296">
        <f t="shared" si="200"/>
        <v>77644.200000000012</v>
      </c>
      <c r="H171" s="428">
        <f t="shared" si="220"/>
        <v>65656.81</v>
      </c>
      <c r="I171" s="297">
        <f t="shared" si="221"/>
        <v>0.15438873734290537</v>
      </c>
      <c r="K171" s="295">
        <v>45383</v>
      </c>
      <c r="L171" s="296">
        <f t="shared" si="201"/>
        <v>1347173.7000000002</v>
      </c>
      <c r="M171" s="428">
        <f t="shared" si="222"/>
        <v>1275928.98</v>
      </c>
      <c r="N171" s="297">
        <f t="shared" si="223"/>
        <v>5.2884583480215054E-2</v>
      </c>
      <c r="P171" s="435">
        <f t="shared" si="224"/>
        <v>235.61000000010245</v>
      </c>
      <c r="Q171" s="435">
        <f t="shared" si="225"/>
        <v>-9000</v>
      </c>
    </row>
    <row r="172" spans="1:17" x14ac:dyDescent="0.2">
      <c r="A172" s="295">
        <v>45413</v>
      </c>
      <c r="B172" s="296">
        <f>SUM('Notes - May24'!D8:D11)</f>
        <v>132782.29999999999</v>
      </c>
      <c r="C172" s="296">
        <f>SUM('Notes - May24'!E8:E11)</f>
        <v>65656.81</v>
      </c>
      <c r="D172" s="296">
        <f>SUM('Notes - May24'!F8:F11)</f>
        <v>1275928.98</v>
      </c>
      <c r="F172" s="295">
        <v>45413</v>
      </c>
      <c r="G172" s="296">
        <f t="shared" si="200"/>
        <v>132782.29999999999</v>
      </c>
      <c r="H172" s="296">
        <f t="shared" ref="H172:H177" si="226">C173</f>
        <v>103567.65</v>
      </c>
      <c r="I172" s="297">
        <f t="shared" si="221"/>
        <v>0.22001915918010154</v>
      </c>
      <c r="K172" s="295">
        <v>45413</v>
      </c>
      <c r="L172" s="296">
        <f t="shared" si="201"/>
        <v>1341585.79</v>
      </c>
      <c r="M172" s="428">
        <f t="shared" si="222"/>
        <v>1304780.1400000001</v>
      </c>
      <c r="N172" s="297">
        <f t="shared" si="223"/>
        <v>2.7434436376968414E-2</v>
      </c>
      <c r="P172" s="474">
        <f t="shared" si="224"/>
        <v>49550.189999999711</v>
      </c>
      <c r="Q172" s="474">
        <f t="shared" si="225"/>
        <v>62000</v>
      </c>
    </row>
    <row r="173" spans="1:17" x14ac:dyDescent="0.2">
      <c r="A173" s="295">
        <v>45444</v>
      </c>
      <c r="B173" s="296">
        <f>SUM('Notes - Jun24'!D8:D11)</f>
        <v>127524.45999999999</v>
      </c>
      <c r="C173" s="296">
        <f>SUM('Notes - Jun24'!E8:E11)</f>
        <v>103567.65</v>
      </c>
      <c r="D173" s="296">
        <f>SUM('Notes - Jun24'!F8:F11)</f>
        <v>1304780.1400000001</v>
      </c>
      <c r="F173" s="295">
        <v>45444</v>
      </c>
      <c r="G173" s="296">
        <f t="shared" si="200"/>
        <v>127524.45999999999</v>
      </c>
      <c r="H173" s="296">
        <f t="shared" si="226"/>
        <v>94370.23</v>
      </c>
      <c r="I173" s="297">
        <f t="shared" ref="I173:I176" si="227">(G173-H173)/G173</f>
        <v>0.25998330045859436</v>
      </c>
      <c r="K173" s="295">
        <v>45444</v>
      </c>
      <c r="L173" s="296">
        <f t="shared" si="201"/>
        <v>1408347.79</v>
      </c>
      <c r="M173" s="428">
        <f t="shared" ref="M173:M176" si="228">D174</f>
        <v>1316553.57</v>
      </c>
      <c r="N173" s="297">
        <f t="shared" ref="N173:N176" si="229">(L173-M173)/L173</f>
        <v>6.5178658745933746E-2</v>
      </c>
      <c r="P173" s="437">
        <f t="shared" ref="P173:P176" si="230">SUM(B173:D173)-SUM(B172:D172)</f>
        <v>61504.160000000149</v>
      </c>
      <c r="Q173" s="437">
        <f t="shared" ref="Q173:Q176" si="231">ROUND(AVERAGE(P95,P98,P101,P104,P107,P110,P113,P116,P119,P122,P125,P128,P131,P134,P137,P140,P143,P146,P149,P152,P155,P158,P161,P164,P167,P170,P173),-3)</f>
        <v>-32000</v>
      </c>
    </row>
    <row r="174" spans="1:17" x14ac:dyDescent="0.2">
      <c r="A174" s="295">
        <v>45474</v>
      </c>
      <c r="B174" s="296">
        <f>SUM('Notes - Jul24'!D8:D11)</f>
        <v>75012.36</v>
      </c>
      <c r="C174" s="296">
        <f>SUM('Notes - Jul24'!E8:E11)</f>
        <v>94370.23</v>
      </c>
      <c r="D174" s="296">
        <f>SUM('Notes - Jul24'!F8:F11)</f>
        <v>1316553.57</v>
      </c>
      <c r="F174" s="295">
        <v>45474</v>
      </c>
      <c r="G174" s="296">
        <f t="shared" si="200"/>
        <v>75012.36</v>
      </c>
      <c r="H174" s="296">
        <f t="shared" si="226"/>
        <v>54872.25</v>
      </c>
      <c r="I174" s="297">
        <f t="shared" si="227"/>
        <v>0.26849055275690564</v>
      </c>
      <c r="K174" s="295">
        <v>45474</v>
      </c>
      <c r="L174" s="296">
        <f t="shared" si="201"/>
        <v>1410923.8</v>
      </c>
      <c r="M174" s="428">
        <f t="shared" si="228"/>
        <v>1287951.05</v>
      </c>
      <c r="N174" s="297">
        <f t="shared" si="229"/>
        <v>8.7157612622311711E-2</v>
      </c>
      <c r="P174" s="435">
        <f t="shared" si="230"/>
        <v>-49936.089999999851</v>
      </c>
      <c r="Q174" s="435">
        <f t="shared" si="231"/>
        <v>-10000</v>
      </c>
    </row>
    <row r="175" spans="1:17" x14ac:dyDescent="0.2">
      <c r="A175" s="295">
        <v>45505</v>
      </c>
      <c r="B175" s="296">
        <f>SUM('Notes - Aug24'!D8:D11)</f>
        <v>160326.15</v>
      </c>
      <c r="C175" s="296">
        <f>SUM('Notes - Aug24'!E8:E11)</f>
        <v>54872.25</v>
      </c>
      <c r="D175" s="296">
        <f>SUM('Notes - Aug24'!F8:F11)</f>
        <v>1287951.05</v>
      </c>
      <c r="F175" s="295">
        <v>45505</v>
      </c>
      <c r="G175" s="296">
        <f t="shared" si="200"/>
        <v>160326.15</v>
      </c>
      <c r="H175" s="296">
        <f t="shared" si="226"/>
        <v>125275.94</v>
      </c>
      <c r="I175" s="297">
        <f t="shared" si="227"/>
        <v>0.21861817301793871</v>
      </c>
      <c r="K175" s="295">
        <v>45505</v>
      </c>
      <c r="L175" s="296">
        <f t="shared" si="201"/>
        <v>1342823.3</v>
      </c>
      <c r="M175" s="428">
        <f t="shared" si="228"/>
        <v>1288154.3099999998</v>
      </c>
      <c r="N175" s="297">
        <f t="shared" si="229"/>
        <v>4.0711976028417307E-2</v>
      </c>
      <c r="P175" s="441">
        <f t="shared" si="230"/>
        <v>17213.289999999804</v>
      </c>
      <c r="Q175" s="441">
        <f t="shared" si="231"/>
        <v>61000</v>
      </c>
    </row>
    <row r="176" spans="1:17" x14ac:dyDescent="0.2">
      <c r="A176" s="295">
        <v>45536</v>
      </c>
      <c r="B176" s="296">
        <f>SUM('Notes - Sep24'!D8:D11)</f>
        <v>163858.51</v>
      </c>
      <c r="C176" s="296">
        <f>SUM('Notes - Sep24'!E8:E11)</f>
        <v>125275.94</v>
      </c>
      <c r="D176" s="296">
        <f>SUM('Notes - Sep24'!F8:F11)</f>
        <v>1288154.3099999998</v>
      </c>
      <c r="F176" s="295">
        <v>45536</v>
      </c>
      <c r="G176" s="296">
        <f t="shared" si="200"/>
        <v>163858.51</v>
      </c>
      <c r="H176" s="296">
        <f t="shared" si="226"/>
        <v>104032.84</v>
      </c>
      <c r="I176" s="297">
        <f t="shared" si="227"/>
        <v>0.36510566341656597</v>
      </c>
      <c r="K176" s="295">
        <v>45536</v>
      </c>
      <c r="L176" s="296">
        <f t="shared" si="201"/>
        <v>1413430.2499999998</v>
      </c>
      <c r="M176" s="428">
        <f t="shared" si="228"/>
        <v>1327034.1399999999</v>
      </c>
      <c r="N176" s="297">
        <f t="shared" si="229"/>
        <v>6.1125131572640309E-2</v>
      </c>
      <c r="P176" s="437">
        <f t="shared" si="230"/>
        <v>74139.309999999823</v>
      </c>
      <c r="Q176" s="437">
        <f t="shared" si="231"/>
        <v>-30000</v>
      </c>
    </row>
    <row r="177" spans="1:17" x14ac:dyDescent="0.2">
      <c r="A177" s="295">
        <v>45566</v>
      </c>
      <c r="B177" s="296">
        <f>SUM('Notes - Oct24'!D8:D11)</f>
        <v>55058.44</v>
      </c>
      <c r="C177" s="296">
        <f>SUM('Notes - Oct24'!E8:E11)</f>
        <v>104032.84</v>
      </c>
      <c r="D177" s="296">
        <f>SUM('Notes - Oct24'!F8:F11)</f>
        <v>1327034.1399999999</v>
      </c>
      <c r="F177" s="295">
        <v>45566</v>
      </c>
      <c r="G177" s="296">
        <f t="shared" si="200"/>
        <v>55058.44</v>
      </c>
      <c r="H177" s="296">
        <f t="shared" si="226"/>
        <v>46604.85</v>
      </c>
      <c r="I177" s="297">
        <f t="shared" ref="I177" si="232">(G177-H177)/G177</f>
        <v>0.15353849473395911</v>
      </c>
      <c r="K177" s="295">
        <v>45566</v>
      </c>
      <c r="L177" s="296">
        <f t="shared" si="201"/>
        <v>1431066.98</v>
      </c>
      <c r="M177" s="428">
        <f t="shared" ref="M177" si="233">D178</f>
        <v>1337460.78</v>
      </c>
      <c r="N177" s="297">
        <f t="shared" ref="N177" si="234">(L177-M177)/L177</f>
        <v>6.5410076053882507E-2</v>
      </c>
      <c r="P177" s="435">
        <f t="shared" ref="P177" si="235">SUM(B177:D177)-SUM(B176:D176)</f>
        <v>-91163.339999999851</v>
      </c>
      <c r="Q177" s="435">
        <f t="shared" ref="Q177" si="236">ROUND(AVERAGE(P99,P102,P105,P108,P111,P114,P117,P120,P123,P126,P129,P132,P135,P138,P141,P144,P147,P150,P153,P156,P159,P162,P165,P168,P171,P174,P177),-3)</f>
        <v>-13000</v>
      </c>
    </row>
    <row r="178" spans="1:17" x14ac:dyDescent="0.2">
      <c r="A178" s="295">
        <v>45597</v>
      </c>
      <c r="B178" s="296">
        <f>SUM('Notes - Nov24'!D8:D11)</f>
        <v>178504.61000000002</v>
      </c>
      <c r="C178" s="296">
        <f>SUM('Notes - Nov24'!E8:E11)</f>
        <v>46604.85</v>
      </c>
      <c r="D178" s="296">
        <f>SUM('Notes - Nov24'!F8:F11)</f>
        <v>1337460.78</v>
      </c>
      <c r="F178" s="295">
        <v>45597</v>
      </c>
      <c r="G178" s="296">
        <f t="shared" si="200"/>
        <v>178504.61000000002</v>
      </c>
      <c r="H178" s="296">
        <f t="shared" ref="H178" si="237">C179</f>
        <v>164187.68</v>
      </c>
      <c r="I178" s="297">
        <f t="shared" ref="I178" si="238">(G178-H178)/G178</f>
        <v>8.0204819360127563E-2</v>
      </c>
      <c r="K178" s="295">
        <v>45597</v>
      </c>
      <c r="L178" s="296">
        <f t="shared" si="201"/>
        <v>1384065.6300000001</v>
      </c>
      <c r="M178" s="428">
        <f t="shared" ref="M178" si="239">D179</f>
        <v>1318326.32</v>
      </c>
      <c r="N178" s="297">
        <f t="shared" ref="N178" si="240">(L178-M178)/L178</f>
        <v>4.7497249100824826E-2</v>
      </c>
      <c r="P178" s="441">
        <f t="shared" ref="P178" si="241">SUM(B178:D178)-SUM(B177:D177)</f>
        <v>76444.820000000065</v>
      </c>
      <c r="Q178" s="441">
        <f t="shared" ref="Q178" si="242">ROUND(AVERAGE(P100,P103,P106,P109,P112,P115,P118,P121,P124,P127,P130,P133,P136,P139,P142,P145,P148,P151,P154,P157,P160,P163,P166,P169,P172,P175,P178),-3)</f>
        <v>58000</v>
      </c>
    </row>
    <row r="179" spans="1:17" x14ac:dyDescent="0.2">
      <c r="A179" s="295">
        <v>45627</v>
      </c>
      <c r="B179" s="296">
        <f>SUM('Notes - Dec24'!D8:D11)</f>
        <v>112050.40000000001</v>
      </c>
      <c r="C179" s="296">
        <f>SUM('Notes - Dec24'!E8:E11)</f>
        <v>164187.68</v>
      </c>
      <c r="D179" s="296">
        <f>SUM('Notes - Dec24'!F8:F11)</f>
        <v>1318326.32</v>
      </c>
      <c r="F179" s="295">
        <v>45627</v>
      </c>
      <c r="G179" s="296">
        <f t="shared" si="200"/>
        <v>112050.40000000001</v>
      </c>
      <c r="H179" s="296">
        <f t="shared" ref="H179" si="243">C180</f>
        <v>88235.58</v>
      </c>
      <c r="I179" s="297">
        <f t="shared" ref="I179" si="244">(G179-H179)/G179</f>
        <v>0.2125366799226063</v>
      </c>
      <c r="K179" s="295">
        <v>45627</v>
      </c>
      <c r="L179" s="296">
        <f t="shared" si="201"/>
        <v>1482514</v>
      </c>
      <c r="M179" s="428">
        <f t="shared" ref="M179" si="245">D180</f>
        <v>1395160.15</v>
      </c>
      <c r="N179" s="297">
        <f t="shared" ref="N179" si="246">(L179-M179)/L179</f>
        <v>5.8922782516725031E-2</v>
      </c>
      <c r="P179" s="437">
        <f t="shared" ref="P179" si="247">SUM(B179:D179)-SUM(B178:D178)</f>
        <v>31994.160000000149</v>
      </c>
      <c r="Q179" s="437">
        <f t="shared" ref="Q179" si="248">ROUND(AVERAGE(P101,P104,P107,P110,P113,P116,P119,P122,P125,P128,P131,P134,P137,P140,P143,P146,P149,P152,P155,P158,P161,P164,P167,P170,P173,P176,P179),-3)</f>
        <v>-30000</v>
      </c>
    </row>
    <row r="180" spans="1:17" x14ac:dyDescent="0.2">
      <c r="A180" s="295">
        <v>45658</v>
      </c>
      <c r="B180" s="296">
        <f>SUM('Notes - Jan25'!D8:D11)</f>
        <v>91268.540000000008</v>
      </c>
      <c r="C180" s="296">
        <f>SUM('Notes - Jan25'!E8:E11)</f>
        <v>88235.58</v>
      </c>
      <c r="D180" s="296">
        <f>SUM('Notes - Jan25'!F8:F11)</f>
        <v>1395160.15</v>
      </c>
      <c r="F180" s="295">
        <v>45658</v>
      </c>
      <c r="G180" s="296">
        <f t="shared" si="200"/>
        <v>91268.540000000008</v>
      </c>
      <c r="H180" s="296">
        <f t="shared" ref="H180" si="249">C181</f>
        <v>63945.930000000008</v>
      </c>
      <c r="I180" s="297">
        <f t="shared" ref="I180" si="250">(G180-H180)/G180</f>
        <v>0.29936503859928076</v>
      </c>
      <c r="K180" s="295">
        <v>45658</v>
      </c>
      <c r="L180" s="296">
        <f t="shared" si="201"/>
        <v>1483395.73</v>
      </c>
      <c r="M180" s="428">
        <f t="shared" ref="M180" si="251">D181</f>
        <v>1392559.72</v>
      </c>
      <c r="N180" s="297">
        <f t="shared" ref="N180" si="252">(L180-M180)/L180</f>
        <v>6.1235183682239673E-2</v>
      </c>
      <c r="P180" s="435">
        <f t="shared" ref="P180" si="253">SUM(B180:D180)-SUM(B179:D179)</f>
        <v>-19900.130000000121</v>
      </c>
      <c r="Q180" s="435">
        <f t="shared" ref="Q180" si="254">ROUND(AVERAGE(P102,P105,P108,P111,P114,P117,P120,P123,P126,P129,P132,P135,P138,P141,P144,P147,P150,P153,P156,P159,P162,P165,P168,P171,P174,P177,P180),-3)</f>
        <v>-9000</v>
      </c>
    </row>
    <row r="181" spans="1:17" x14ac:dyDescent="0.2">
      <c r="A181" s="295">
        <v>45689</v>
      </c>
      <c r="B181" s="296">
        <f>SUM('Notes - Feb25'!D8:D11)</f>
        <v>173947.16</v>
      </c>
      <c r="C181" s="296">
        <f>SUM('Notes - Feb25'!E8:E11)</f>
        <v>63945.930000000008</v>
      </c>
      <c r="D181" s="296">
        <f>SUM('Notes - Feb25'!F8:F11)</f>
        <v>1392559.72</v>
      </c>
      <c r="F181" s="295">
        <v>45689</v>
      </c>
      <c r="G181" s="296">
        <f t="shared" si="200"/>
        <v>173947.16</v>
      </c>
      <c r="H181" s="296">
        <f t="shared" ref="H181" si="255">C182</f>
        <v>138058.21</v>
      </c>
      <c r="I181" s="297">
        <f t="shared" ref="I181" si="256">(G181-H181)/G181</f>
        <v>0.20632098851168373</v>
      </c>
      <c r="K181" s="295">
        <v>45689</v>
      </c>
      <c r="L181" s="296">
        <f t="shared" si="201"/>
        <v>1456505.65</v>
      </c>
      <c r="M181" s="428">
        <f t="shared" ref="M181" si="257">D182</f>
        <v>1384993.6600000001</v>
      </c>
      <c r="N181" s="297">
        <f t="shared" ref="N181" si="258">(L181-M181)/L181</f>
        <v>4.9098326532409788E-2</v>
      </c>
      <c r="P181" s="441">
        <f t="shared" ref="P181" si="259">SUM(B181:D181)-SUM(B180:D180)</f>
        <v>55788.540000000037</v>
      </c>
      <c r="Q181" s="441">
        <f t="shared" ref="Q181" si="260">ROUND(AVERAGE(P103,P106,P109,P112,P115,P118,P121,P124,P127,P130,P133,P136,P139,P142,P145,P148,P151,P154,P157,P160,P163,P166,P169,P172,P175,P178,P181),-3)</f>
        <v>58000</v>
      </c>
    </row>
    <row r="182" spans="1:17" x14ac:dyDescent="0.2">
      <c r="A182" s="295">
        <v>45717</v>
      </c>
      <c r="B182" s="296">
        <f>SUM('Notes - Mar25'!D8:D11)</f>
        <v>138591.99</v>
      </c>
      <c r="C182" s="296">
        <f>SUM('Notes - Mar25'!E8:E11)</f>
        <v>138058.21</v>
      </c>
      <c r="D182" s="296">
        <f>SUM('Notes - Mar25'!F8:F11)</f>
        <v>1384993.6600000001</v>
      </c>
      <c r="F182" s="295">
        <v>45717</v>
      </c>
      <c r="G182" s="296">
        <f t="shared" si="200"/>
        <v>138591.99</v>
      </c>
      <c r="H182" s="296">
        <f t="shared" ref="H182" si="261">C183</f>
        <v>101975.57</v>
      </c>
      <c r="I182" s="297">
        <f t="shared" ref="I182" si="262">(G182-H182)/G182</f>
        <v>0.26420300336260405</v>
      </c>
      <c r="K182" s="295">
        <v>45717</v>
      </c>
      <c r="L182" s="296">
        <f t="shared" si="201"/>
        <v>1523051.87</v>
      </c>
      <c r="M182" s="428">
        <f t="shared" ref="M182" si="263">D183</f>
        <v>1402661.6400000001</v>
      </c>
      <c r="N182" s="297">
        <f t="shared" ref="N182" si="264">(L182-M182)/L182</f>
        <v>7.9045390620872277E-2</v>
      </c>
      <c r="P182" s="437">
        <f t="shared" ref="P182" si="265">SUM(B182:D182)-SUM(B181:D181)</f>
        <v>31191.050000000047</v>
      </c>
      <c r="Q182" s="437">
        <f t="shared" ref="Q182" si="266">ROUND(AVERAGE(P104,P107,P110,P113,P116,P119,P122,P125,P128,P131,P134,P137,P140,P143,P146,P149,P152,P155,P158,P161,P164,P167,P170,P173,P176,P179,P182),-3)</f>
        <v>-30000</v>
      </c>
    </row>
    <row r="183" spans="1:17" x14ac:dyDescent="0.2">
      <c r="A183" s="295">
        <v>45748</v>
      </c>
      <c r="B183" s="296">
        <f>SUM('Notes - Apr25'!D8:D11)</f>
        <v>96971.950000000012</v>
      </c>
      <c r="C183" s="296">
        <f>SUM('Notes - Apr25'!E8:E11)</f>
        <v>101975.57</v>
      </c>
      <c r="D183" s="296">
        <f>SUM('Notes - Apr25'!F8:F11)</f>
        <v>1402661.6400000001</v>
      </c>
      <c r="F183" s="295">
        <v>45748</v>
      </c>
      <c r="G183" s="296">
        <f t="shared" si="200"/>
        <v>96971.950000000012</v>
      </c>
      <c r="H183" s="296">
        <f t="shared" ref="H183" si="267">C184</f>
        <v>74376.45</v>
      </c>
      <c r="I183" s="297">
        <f t="shared" ref="I183" si="268">(G183-H183)/G183</f>
        <v>0.2330106798924845</v>
      </c>
      <c r="K183" s="295">
        <v>45748</v>
      </c>
      <c r="L183" s="296">
        <f t="shared" si="201"/>
        <v>1504637.2100000002</v>
      </c>
      <c r="M183" s="428">
        <f t="shared" ref="M183" si="269">D184</f>
        <v>1418944.7399999998</v>
      </c>
      <c r="N183" s="297">
        <f t="shared" ref="N183" si="270">(L183-M183)/L183</f>
        <v>5.6952246980519927E-2</v>
      </c>
      <c r="P183" s="435">
        <f t="shared" ref="P183" si="271">SUM(B183:D183)-SUM(B182:D182)</f>
        <v>-60034.699999999953</v>
      </c>
      <c r="Q183" s="435">
        <f t="shared" ref="Q183" si="272">ROUND(AVERAGE(P105,P108,P111,P114,P117,P120,P123,P126,P129,P132,P135,P138,P141,P144,P147,P150,P153,P156,P159,P162,P165,P168,P171,P174,P177,P180,P183),-3)</f>
        <v>-10000</v>
      </c>
    </row>
    <row r="184" spans="1:17" x14ac:dyDescent="0.2">
      <c r="A184" s="295">
        <v>45778</v>
      </c>
      <c r="B184" s="296">
        <f>SUM('Notes - May25'!D8:D11)</f>
        <v>213847.9</v>
      </c>
      <c r="C184" s="296">
        <f>SUM('Notes - May25'!E8:E11)</f>
        <v>74376.45</v>
      </c>
      <c r="D184" s="296">
        <f>SUM('Notes - May25'!F8:F11)</f>
        <v>1418944.7399999998</v>
      </c>
      <c r="F184" s="295">
        <v>45778</v>
      </c>
      <c r="G184" s="296">
        <f t="shared" si="200"/>
        <v>213847.9</v>
      </c>
      <c r="H184" s="296">
        <f t="shared" ref="H184" si="273">C185</f>
        <v>153509.1</v>
      </c>
      <c r="I184" s="297">
        <f t="shared" ref="I184" si="274">(G184-H184)/G184</f>
        <v>0.28215755216675026</v>
      </c>
      <c r="K184" s="295">
        <v>45778</v>
      </c>
      <c r="L184" s="296">
        <f t="shared" si="201"/>
        <v>1493321.1899999997</v>
      </c>
      <c r="M184" s="428">
        <f t="shared" ref="M184" si="275">D185</f>
        <v>1415654.99</v>
      </c>
      <c r="N184" s="297">
        <f t="shared" ref="N184" si="276">(L184-M184)/L184</f>
        <v>5.2009038993145025E-2</v>
      </c>
      <c r="P184" s="441">
        <f t="shared" ref="P184:P185" si="277">SUM(B184:D184)-SUM(B183:D183)</f>
        <v>105559.9299999997</v>
      </c>
      <c r="Q184" s="441">
        <f t="shared" ref="Q184:Q185" si="278">ROUND(AVERAGE(P106,P109,P112,P115,P118,P121,P124,P127,P130,P133,P136,P139,P142,P145,P148,P151,P154,P157,P160,P163,P166,P169,P172,P175,P178,P181,P184),-3)</f>
        <v>59000</v>
      </c>
    </row>
    <row r="185" spans="1:17" x14ac:dyDescent="0.2">
      <c r="A185" s="295">
        <v>45809</v>
      </c>
      <c r="B185" s="296">
        <f>SUM('Notes - Jun25'!D8:D11)</f>
        <v>179001.44999999998</v>
      </c>
      <c r="C185" s="296">
        <f>SUM('Notes - Jun25'!E8:E11)</f>
        <v>153509.1</v>
      </c>
      <c r="D185" s="296">
        <f>SUM('Notes - Jun25'!F8:F11)</f>
        <v>1415654.99</v>
      </c>
      <c r="F185" s="295">
        <v>45809</v>
      </c>
      <c r="G185" s="296">
        <f t="shared" si="200"/>
        <v>179001.44999999998</v>
      </c>
      <c r="K185" s="295">
        <v>45809</v>
      </c>
      <c r="L185" s="296">
        <f t="shared" si="201"/>
        <v>1569164.09</v>
      </c>
      <c r="P185" s="437">
        <f t="shared" si="277"/>
        <v>40996.450000000186</v>
      </c>
      <c r="Q185" s="437">
        <f t="shared" si="278"/>
        <v>-29000</v>
      </c>
    </row>
    <row r="186" spans="1:17" x14ac:dyDescent="0.2">
      <c r="A186" s="295">
        <v>45839</v>
      </c>
      <c r="F186" s="295">
        <v>45839</v>
      </c>
      <c r="K186" s="295">
        <v>45839</v>
      </c>
    </row>
  </sheetData>
  <pageMargins left="0.7" right="0.7" top="0.75" bottom="0.75" header="0.3" footer="0.3"/>
  <pageSetup paperSize="9" orientation="portrait" r:id="rId1"/>
  <ignoredErrors>
    <ignoredError sqref="D6:D7 C65:D65 E114:F114 C116 B143:D144" formulaRange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33A8-E422-4BB4-BA18-EF0AE58A0FEA}">
  <dimension ref="A1:G23"/>
  <sheetViews>
    <sheetView zoomScale="130" zoomScaleNormal="130" workbookViewId="0">
      <selection activeCell="D8" sqref="D8:D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437</v>
      </c>
      <c r="B8" s="340" t="s">
        <v>38</v>
      </c>
      <c r="C8" s="340" t="s">
        <v>3</v>
      </c>
      <c r="D8" s="342">
        <v>447.71</v>
      </c>
      <c r="E8" s="342">
        <v>0</v>
      </c>
      <c r="F8" s="342">
        <v>7229.38</v>
      </c>
    </row>
    <row r="9" spans="1:7" x14ac:dyDescent="0.25">
      <c r="A9" s="340" t="s">
        <v>437</v>
      </c>
      <c r="B9" s="340" t="s">
        <v>38</v>
      </c>
      <c r="C9" s="340" t="s">
        <v>323</v>
      </c>
      <c r="D9" s="342">
        <v>1319.78</v>
      </c>
      <c r="E9" s="342">
        <v>527.88</v>
      </c>
      <c r="F9" s="342">
        <v>1635.41</v>
      </c>
    </row>
    <row r="10" spans="1:7" x14ac:dyDescent="0.25">
      <c r="A10" s="340" t="s">
        <v>437</v>
      </c>
      <c r="B10" s="340" t="s">
        <v>38</v>
      </c>
      <c r="C10" s="340" t="s">
        <v>41</v>
      </c>
      <c r="D10" s="342">
        <v>52179.7</v>
      </c>
      <c r="E10" s="342">
        <v>55262.99</v>
      </c>
      <c r="F10" s="342">
        <v>999312</v>
      </c>
    </row>
    <row r="11" spans="1:7" x14ac:dyDescent="0.25">
      <c r="A11" s="340" t="s">
        <v>437</v>
      </c>
      <c r="B11" s="340" t="s">
        <v>39</v>
      </c>
      <c r="C11" s="340" t="s">
        <v>41</v>
      </c>
      <c r="D11" s="342">
        <v>10506.06</v>
      </c>
      <c r="E11" s="342">
        <v>12685.52</v>
      </c>
      <c r="F11" s="342">
        <v>103642.52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1106754.69</v>
      </c>
      <c r="E14" s="390"/>
      <c r="F14" s="417"/>
    </row>
    <row r="15" spans="1:7" x14ac:dyDescent="0.25">
      <c r="A15" s="336" t="s">
        <v>39</v>
      </c>
      <c r="B15" s="415">
        <f>SUM(D11:F11)</f>
        <v>126834.1</v>
      </c>
    </row>
    <row r="16" spans="1:7" x14ac:dyDescent="0.25">
      <c r="A16" s="336" t="s">
        <v>2</v>
      </c>
      <c r="B16" s="415">
        <f>SUM(D9:F9)</f>
        <v>3483.0699999999997</v>
      </c>
    </row>
    <row r="17" spans="1:6" x14ac:dyDescent="0.25">
      <c r="A17" s="336" t="s">
        <v>3</v>
      </c>
      <c r="B17" s="415">
        <f>SUM(D8:F8)</f>
        <v>7677.09</v>
      </c>
    </row>
    <row r="18" spans="1:6" ht="15.75" thickBot="1" x14ac:dyDescent="0.3">
      <c r="A18" s="361"/>
      <c r="B18" s="416">
        <f>SUM(B14:B17)</f>
        <v>1244748.9500000002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F0222-7D89-4C9A-BD18-52E96A3DCC28}">
  <dimension ref="A1:G23"/>
  <sheetViews>
    <sheetView zoomScale="130" zoomScaleNormal="130" workbookViewId="0">
      <selection activeCell="D8" sqref="D8:D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434</v>
      </c>
      <c r="B8" s="340" t="s">
        <v>38</v>
      </c>
      <c r="C8" s="340" t="s">
        <v>3</v>
      </c>
      <c r="D8" s="342">
        <v>0</v>
      </c>
      <c r="E8" s="342">
        <v>0</v>
      </c>
      <c r="F8" s="342">
        <v>7758.35</v>
      </c>
    </row>
    <row r="9" spans="1:7" x14ac:dyDescent="0.25">
      <c r="A9" s="340" t="s">
        <v>434</v>
      </c>
      <c r="B9" s="340" t="s">
        <v>38</v>
      </c>
      <c r="C9" s="340" t="s">
        <v>323</v>
      </c>
      <c r="D9" s="342">
        <v>527.79</v>
      </c>
      <c r="E9" s="342">
        <v>0</v>
      </c>
      <c r="F9" s="342">
        <v>1650.71</v>
      </c>
    </row>
    <row r="10" spans="1:7" x14ac:dyDescent="0.25">
      <c r="A10" s="340" t="s">
        <v>434</v>
      </c>
      <c r="B10" s="340" t="s">
        <v>38</v>
      </c>
      <c r="C10" s="340" t="s">
        <v>41</v>
      </c>
      <c r="D10" s="342">
        <v>64668.160000000003</v>
      </c>
      <c r="E10" s="342">
        <v>63201.93</v>
      </c>
      <c r="F10" s="342">
        <v>972417.71</v>
      </c>
    </row>
    <row r="11" spans="1:7" x14ac:dyDescent="0.25">
      <c r="A11" s="340" t="s">
        <v>434</v>
      </c>
      <c r="B11" s="340" t="s">
        <v>39</v>
      </c>
      <c r="C11" s="340" t="s">
        <v>41</v>
      </c>
      <c r="D11" s="342">
        <v>14056.38</v>
      </c>
      <c r="E11" s="342">
        <v>21977.58</v>
      </c>
      <c r="F11" s="342">
        <v>97446.3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1100287.8</v>
      </c>
      <c r="E14" s="390"/>
      <c r="F14" s="417"/>
    </row>
    <row r="15" spans="1:7" x14ac:dyDescent="0.25">
      <c r="A15" s="336" t="s">
        <v>39</v>
      </c>
      <c r="B15" s="415">
        <f>SUM(D11:F11)</f>
        <v>133480.26</v>
      </c>
    </row>
    <row r="16" spans="1:7" x14ac:dyDescent="0.25">
      <c r="A16" s="336" t="s">
        <v>2</v>
      </c>
      <c r="B16" s="415">
        <f>SUM(D9:F9)</f>
        <v>2178.5</v>
      </c>
    </row>
    <row r="17" spans="1:6" x14ac:dyDescent="0.25">
      <c r="A17" s="336" t="s">
        <v>3</v>
      </c>
      <c r="B17" s="415">
        <f>SUM(D8:F8)</f>
        <v>7758.35</v>
      </c>
    </row>
    <row r="18" spans="1:6" ht="15.75" thickBot="1" x14ac:dyDescent="0.3">
      <c r="A18" s="361"/>
      <c r="B18" s="416">
        <f>SUM(B14:B17)</f>
        <v>1243704.9100000001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727F1-3AD4-4B3C-AA45-46333006A0CA}">
  <dimension ref="A1:G23"/>
  <sheetViews>
    <sheetView zoomScale="130" zoomScaleNormal="130" workbookViewId="0">
      <selection activeCell="D10" sqref="D1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434</v>
      </c>
      <c r="B8" s="340" t="s">
        <v>38</v>
      </c>
      <c r="C8" s="340" t="s">
        <v>3</v>
      </c>
      <c r="D8" s="342">
        <v>0</v>
      </c>
      <c r="E8" s="342">
        <v>562.05999999999995</v>
      </c>
      <c r="F8" s="342">
        <v>8198.0300000000007</v>
      </c>
    </row>
    <row r="9" spans="1:7" x14ac:dyDescent="0.25">
      <c r="A9" s="340" t="s">
        <v>434</v>
      </c>
      <c r="B9" s="340" t="s">
        <v>38</v>
      </c>
      <c r="C9" s="340" t="s">
        <v>323</v>
      </c>
      <c r="D9" s="342">
        <v>617.91</v>
      </c>
      <c r="E9" s="342">
        <v>1120.2</v>
      </c>
      <c r="F9" s="342">
        <v>499.09</v>
      </c>
    </row>
    <row r="10" spans="1:7" x14ac:dyDescent="0.25">
      <c r="A10" s="340" t="s">
        <v>434</v>
      </c>
      <c r="B10" s="340" t="s">
        <v>38</v>
      </c>
      <c r="C10" s="340" t="s">
        <v>41</v>
      </c>
      <c r="D10" s="342">
        <v>90105.78</v>
      </c>
      <c r="E10" s="342">
        <v>35428.74</v>
      </c>
      <c r="F10" s="342">
        <v>967750.39</v>
      </c>
    </row>
    <row r="11" spans="1:7" x14ac:dyDescent="0.25">
      <c r="A11" s="340" t="s">
        <v>434</v>
      </c>
      <c r="B11" s="340" t="s">
        <v>39</v>
      </c>
      <c r="C11" s="340" t="s">
        <v>41</v>
      </c>
      <c r="D11" s="342">
        <v>27394.81</v>
      </c>
      <c r="E11" s="342">
        <v>11507.89</v>
      </c>
      <c r="F11" s="342">
        <v>97216.99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1093284.9099999999</v>
      </c>
      <c r="E14" s="390"/>
      <c r="F14" s="417"/>
    </row>
    <row r="15" spans="1:7" x14ac:dyDescent="0.25">
      <c r="A15" s="336" t="s">
        <v>39</v>
      </c>
      <c r="B15" s="415">
        <f>SUM(D11:F11)</f>
        <v>136119.69</v>
      </c>
    </row>
    <row r="16" spans="1:7" x14ac:dyDescent="0.25">
      <c r="A16" s="336" t="s">
        <v>2</v>
      </c>
      <c r="B16" s="415">
        <f>SUM(D9:F9)</f>
        <v>2237.2000000000003</v>
      </c>
    </row>
    <row r="17" spans="1:6" x14ac:dyDescent="0.25">
      <c r="A17" s="336" t="s">
        <v>3</v>
      </c>
      <c r="B17" s="415">
        <f>SUM(D8:F8)</f>
        <v>8760.09</v>
      </c>
    </row>
    <row r="18" spans="1:6" ht="15.75" thickBot="1" x14ac:dyDescent="0.3">
      <c r="A18" s="361"/>
      <c r="B18" s="416">
        <f>SUM(B14:B17)</f>
        <v>1240401.8899999999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67020-B86A-4481-AB08-538F7BDD9800}">
  <dimension ref="A1:G23"/>
  <sheetViews>
    <sheetView zoomScale="130" zoomScaleNormal="130" workbookViewId="0">
      <selection activeCell="F8" sqref="F8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434</v>
      </c>
      <c r="B8" s="340" t="s">
        <v>38</v>
      </c>
      <c r="C8" s="340" t="s">
        <v>3</v>
      </c>
      <c r="D8" s="342">
        <v>582.05999999999995</v>
      </c>
      <c r="E8" s="342">
        <v>0</v>
      </c>
      <c r="F8" s="342">
        <v>8751.1</v>
      </c>
    </row>
    <row r="9" spans="1:7" x14ac:dyDescent="0.25">
      <c r="A9" s="340" t="s">
        <v>434</v>
      </c>
      <c r="B9" s="340" t="s">
        <v>38</v>
      </c>
      <c r="C9" s="340" t="s">
        <v>323</v>
      </c>
      <c r="D9" s="342">
        <v>2362.92</v>
      </c>
      <c r="E9" s="342">
        <v>529.39</v>
      </c>
      <c r="F9" s="342">
        <v>491.59</v>
      </c>
    </row>
    <row r="10" spans="1:7" x14ac:dyDescent="0.25">
      <c r="A10" s="340" t="s">
        <v>434</v>
      </c>
      <c r="B10" s="340" t="s">
        <v>38</v>
      </c>
      <c r="C10" s="340" t="s">
        <v>41</v>
      </c>
      <c r="D10" s="342">
        <v>44758.78</v>
      </c>
      <c r="E10" s="342">
        <v>45763.33</v>
      </c>
      <c r="F10" s="342">
        <v>976343.05</v>
      </c>
    </row>
    <row r="11" spans="1:7" x14ac:dyDescent="0.25">
      <c r="A11" s="340" t="s">
        <v>434</v>
      </c>
      <c r="B11" s="340" t="s">
        <v>39</v>
      </c>
      <c r="C11" s="340" t="s">
        <v>41</v>
      </c>
      <c r="D11" s="342">
        <v>10059.24</v>
      </c>
      <c r="E11" s="342">
        <v>8070.08</v>
      </c>
      <c r="F11" s="342">
        <v>103128.39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1066865.1600000001</v>
      </c>
      <c r="E14" s="390"/>
      <c r="F14" s="417"/>
    </row>
    <row r="15" spans="1:7" x14ac:dyDescent="0.25">
      <c r="A15" s="336" t="s">
        <v>39</v>
      </c>
      <c r="B15" s="415">
        <f>SUM(D11:F11)</f>
        <v>121257.70999999999</v>
      </c>
    </row>
    <row r="16" spans="1:7" x14ac:dyDescent="0.25">
      <c r="A16" s="336" t="s">
        <v>2</v>
      </c>
      <c r="B16" s="415">
        <f>SUM(D9:F9)</f>
        <v>3383.9</v>
      </c>
    </row>
    <row r="17" spans="1:6" x14ac:dyDescent="0.25">
      <c r="A17" s="336" t="s">
        <v>3</v>
      </c>
      <c r="B17" s="415">
        <f>SUM(D8:F8)</f>
        <v>9333.16</v>
      </c>
    </row>
    <row r="18" spans="1:6" ht="15.75" thickBot="1" x14ac:dyDescent="0.3">
      <c r="A18" s="361"/>
      <c r="B18" s="416">
        <f>SUM(B14:B17)</f>
        <v>1200839.93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5C17F-6D79-484A-99AA-4EB44C7F957C}">
  <dimension ref="A1:G23"/>
  <sheetViews>
    <sheetView zoomScale="130" zoomScaleNormal="130" workbookViewId="0">
      <selection activeCell="D8" sqref="D8:D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434</v>
      </c>
      <c r="B8" s="340" t="s">
        <v>38</v>
      </c>
      <c r="C8" s="340" t="s">
        <v>3</v>
      </c>
      <c r="D8" s="342">
        <v>0</v>
      </c>
      <c r="E8" s="342">
        <v>0</v>
      </c>
      <c r="F8" s="342">
        <v>9301.6</v>
      </c>
    </row>
    <row r="9" spans="1:7" x14ac:dyDescent="0.25">
      <c r="A9" s="340" t="s">
        <v>434</v>
      </c>
      <c r="B9" s="340" t="s">
        <v>38</v>
      </c>
      <c r="C9" s="340" t="s">
        <v>323</v>
      </c>
      <c r="D9" s="342">
        <v>528.22</v>
      </c>
      <c r="E9" s="342">
        <v>1.5</v>
      </c>
      <c r="F9" s="342">
        <v>490.09</v>
      </c>
    </row>
    <row r="10" spans="1:7" x14ac:dyDescent="0.25">
      <c r="A10" s="340" t="s">
        <v>434</v>
      </c>
      <c r="B10" s="340" t="s">
        <v>38</v>
      </c>
      <c r="C10" s="340" t="s">
        <v>41</v>
      </c>
      <c r="D10" s="342">
        <v>53730.34</v>
      </c>
      <c r="E10" s="342">
        <v>171271.31</v>
      </c>
      <c r="F10" s="342">
        <v>836203.21</v>
      </c>
    </row>
    <row r="11" spans="1:7" x14ac:dyDescent="0.25">
      <c r="A11" s="340" t="s">
        <v>434</v>
      </c>
      <c r="B11" s="340" t="s">
        <v>39</v>
      </c>
      <c r="C11" s="340" t="s">
        <v>41</v>
      </c>
      <c r="D11" s="342">
        <v>9507.4699999999993</v>
      </c>
      <c r="E11" s="342">
        <v>23693.09</v>
      </c>
      <c r="F11" s="342">
        <v>97735.23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1061204.8599999999</v>
      </c>
      <c r="E14" s="390"/>
      <c r="F14" s="417"/>
    </row>
    <row r="15" spans="1:7" x14ac:dyDescent="0.25">
      <c r="A15" s="336" t="s">
        <v>39</v>
      </c>
      <c r="B15" s="415">
        <f>SUM(D11:F11)</f>
        <v>130935.79</v>
      </c>
    </row>
    <row r="16" spans="1:7" x14ac:dyDescent="0.25">
      <c r="A16" s="336" t="s">
        <v>2</v>
      </c>
      <c r="B16" s="415">
        <f>SUM(D9:F9)</f>
        <v>1019.81</v>
      </c>
    </row>
    <row r="17" spans="1:6" x14ac:dyDescent="0.25">
      <c r="A17" s="336" t="s">
        <v>3</v>
      </c>
      <c r="B17" s="415">
        <f>SUM(D8:F8)</f>
        <v>9301.6</v>
      </c>
    </row>
    <row r="18" spans="1:6" ht="15.75" thickBot="1" x14ac:dyDescent="0.3">
      <c r="A18" s="361"/>
      <c r="B18" s="416">
        <f>SUM(B14:B17)</f>
        <v>1202462.06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5938-44AE-43D2-B76E-C77627F3E6D8}">
  <dimension ref="A1:G23"/>
  <sheetViews>
    <sheetView zoomScale="130" zoomScaleNormal="130" workbookViewId="0">
      <selection activeCell="D8" sqref="D8:D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434</v>
      </c>
      <c r="B8" s="340" t="s">
        <v>38</v>
      </c>
      <c r="C8" s="340" t="s">
        <v>3</v>
      </c>
      <c r="D8" s="342">
        <v>0</v>
      </c>
      <c r="E8" s="342">
        <v>473.12</v>
      </c>
      <c r="F8" s="342">
        <v>9302.73</v>
      </c>
    </row>
    <row r="9" spans="1:7" x14ac:dyDescent="0.25">
      <c r="A9" s="340" t="s">
        <v>434</v>
      </c>
      <c r="B9" s="340" t="s">
        <v>38</v>
      </c>
      <c r="C9" s="340" t="s">
        <v>323</v>
      </c>
      <c r="D9" s="342">
        <v>503.34</v>
      </c>
      <c r="E9" s="342">
        <v>527.62</v>
      </c>
      <c r="F9" s="342">
        <v>2242.58</v>
      </c>
    </row>
    <row r="10" spans="1:7" x14ac:dyDescent="0.25">
      <c r="A10" s="340" t="s">
        <v>434</v>
      </c>
      <c r="B10" s="340" t="s">
        <v>38</v>
      </c>
      <c r="C10" s="340" t="s">
        <v>41</v>
      </c>
      <c r="D10" s="342">
        <v>213375.45</v>
      </c>
      <c r="E10" s="342">
        <v>31765.48</v>
      </c>
      <c r="F10" s="342">
        <v>850000.57</v>
      </c>
    </row>
    <row r="11" spans="1:7" x14ac:dyDescent="0.25">
      <c r="A11" s="340" t="s">
        <v>434</v>
      </c>
      <c r="B11" s="340" t="s">
        <v>39</v>
      </c>
      <c r="C11" s="340" t="s">
        <v>41</v>
      </c>
      <c r="D11" s="342">
        <v>30550.68</v>
      </c>
      <c r="E11" s="342">
        <v>8248.7099999999991</v>
      </c>
      <c r="F11" s="342">
        <v>102465.01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1095141.5</v>
      </c>
      <c r="E14" s="390"/>
      <c r="F14" s="417"/>
    </row>
    <row r="15" spans="1:7" x14ac:dyDescent="0.25">
      <c r="A15" s="336" t="s">
        <v>39</v>
      </c>
      <c r="B15" s="415">
        <f>SUM(D11:F11)</f>
        <v>141264.4</v>
      </c>
    </row>
    <row r="16" spans="1:7" x14ac:dyDescent="0.25">
      <c r="A16" s="336" t="s">
        <v>2</v>
      </c>
      <c r="B16" s="415">
        <f>SUM(D9:F9)</f>
        <v>3273.54</v>
      </c>
    </row>
    <row r="17" spans="1:6" x14ac:dyDescent="0.25">
      <c r="A17" s="336" t="s">
        <v>3</v>
      </c>
      <c r="B17" s="415">
        <f>SUM(D8:F8)</f>
        <v>9775.85</v>
      </c>
    </row>
    <row r="18" spans="1:6" ht="15.75" thickBot="1" x14ac:dyDescent="0.3">
      <c r="A18" s="361"/>
      <c r="B18" s="416">
        <f>SUM(B14:B17)</f>
        <v>1249455.29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E2F0-3B14-4772-8992-AF89DE2E04F6}">
  <dimension ref="A1:G23"/>
  <sheetViews>
    <sheetView zoomScale="130" zoomScaleNormal="130" workbookViewId="0">
      <selection activeCell="D8" sqref="D8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434</v>
      </c>
      <c r="B8" s="340" t="s">
        <v>38</v>
      </c>
      <c r="C8" s="340" t="s">
        <v>3</v>
      </c>
      <c r="D8" s="342">
        <v>760.53</v>
      </c>
      <c r="E8" s="342">
        <v>0</v>
      </c>
      <c r="F8" s="342">
        <v>9406.25</v>
      </c>
    </row>
    <row r="9" spans="1:7" x14ac:dyDescent="0.25">
      <c r="A9" s="340" t="s">
        <v>434</v>
      </c>
      <c r="B9" s="340" t="s">
        <v>38</v>
      </c>
      <c r="C9" s="340" t="s">
        <v>323</v>
      </c>
      <c r="D9" s="342">
        <v>544.38</v>
      </c>
      <c r="E9" s="342">
        <v>3181.04</v>
      </c>
      <c r="F9" s="342">
        <v>490.92</v>
      </c>
    </row>
    <row r="10" spans="1:7" x14ac:dyDescent="0.25">
      <c r="A10" s="340" t="s">
        <v>434</v>
      </c>
      <c r="B10" s="340" t="s">
        <v>38</v>
      </c>
      <c r="C10" s="340" t="s">
        <v>41</v>
      </c>
      <c r="D10" s="342">
        <v>50657.65</v>
      </c>
      <c r="E10" s="342">
        <v>36601.18</v>
      </c>
      <c r="F10" s="342">
        <v>886792.76</v>
      </c>
    </row>
    <row r="11" spans="1:7" x14ac:dyDescent="0.25">
      <c r="A11" s="340" t="s">
        <v>434</v>
      </c>
      <c r="B11" s="340" t="s">
        <v>39</v>
      </c>
      <c r="C11" s="340" t="s">
        <v>41</v>
      </c>
      <c r="D11" s="342">
        <v>12094.7</v>
      </c>
      <c r="E11" s="342">
        <v>5675.04</v>
      </c>
      <c r="F11" s="342">
        <v>109912.42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974051.59</v>
      </c>
      <c r="E14" s="390"/>
      <c r="F14" s="417"/>
    </row>
    <row r="15" spans="1:7" x14ac:dyDescent="0.25">
      <c r="A15" s="336" t="s">
        <v>39</v>
      </c>
      <c r="B15" s="415">
        <f>SUM(D11:F11)</f>
        <v>127682.16</v>
      </c>
    </row>
    <row r="16" spans="1:7" x14ac:dyDescent="0.25">
      <c r="A16" s="336" t="s">
        <v>2</v>
      </c>
      <c r="B16" s="415">
        <f>SUM(D9:F9)</f>
        <v>4216.34</v>
      </c>
    </row>
    <row r="17" spans="1:6" x14ac:dyDescent="0.25">
      <c r="A17" s="336" t="s">
        <v>3</v>
      </c>
      <c r="B17" s="415">
        <f>SUM(D8:F8)</f>
        <v>10166.780000000001</v>
      </c>
    </row>
    <row r="18" spans="1:6" ht="15.75" thickBot="1" x14ac:dyDescent="0.3">
      <c r="A18" s="361"/>
      <c r="B18" s="416">
        <f>SUM(B14:B17)</f>
        <v>1116116.8700000001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4CE65-6171-427D-8ED3-71B53A8B35F7}">
  <dimension ref="A1:G23"/>
  <sheetViews>
    <sheetView zoomScale="130" zoomScaleNormal="130" workbookViewId="0">
      <selection activeCell="D10" sqref="D1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434</v>
      </c>
      <c r="B8" s="340" t="s">
        <v>38</v>
      </c>
      <c r="C8" s="340" t="s">
        <v>3</v>
      </c>
      <c r="D8" s="342">
        <v>0</v>
      </c>
      <c r="E8" s="342">
        <v>0</v>
      </c>
      <c r="F8" s="342">
        <v>9467.6200000000008</v>
      </c>
    </row>
    <row r="9" spans="1:7" x14ac:dyDescent="0.25">
      <c r="A9" s="340" t="s">
        <v>434</v>
      </c>
      <c r="B9" s="340" t="s">
        <v>38</v>
      </c>
      <c r="C9" s="340" t="s">
        <v>323</v>
      </c>
      <c r="D9" s="342">
        <v>4666.6099999999997</v>
      </c>
      <c r="E9" s="342">
        <v>236.47</v>
      </c>
      <c r="F9" s="342">
        <v>261.54000000000002</v>
      </c>
    </row>
    <row r="10" spans="1:7" x14ac:dyDescent="0.25">
      <c r="A10" s="340" t="s">
        <v>434</v>
      </c>
      <c r="B10" s="340" t="s">
        <v>38</v>
      </c>
      <c r="C10" s="340" t="s">
        <v>41</v>
      </c>
      <c r="D10" s="342">
        <v>47008.21</v>
      </c>
      <c r="E10" s="342">
        <v>67745.95</v>
      </c>
      <c r="F10" s="342">
        <v>865308.05</v>
      </c>
    </row>
    <row r="11" spans="1:7" x14ac:dyDescent="0.25">
      <c r="A11" s="340" t="s">
        <v>434</v>
      </c>
      <c r="B11" s="340" t="s">
        <v>39</v>
      </c>
      <c r="C11" s="340" t="s">
        <v>41</v>
      </c>
      <c r="D11" s="342">
        <v>6980.87</v>
      </c>
      <c r="E11" s="342">
        <v>22941.63</v>
      </c>
      <c r="F11" s="342">
        <v>99300.44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980062.21000000008</v>
      </c>
      <c r="E14" s="390"/>
      <c r="F14" s="417"/>
    </row>
    <row r="15" spans="1:7" x14ac:dyDescent="0.25">
      <c r="A15" s="336" t="s">
        <v>39</v>
      </c>
      <c r="B15" s="415">
        <f>SUM(D11:F11)</f>
        <v>129222.94</v>
      </c>
    </row>
    <row r="16" spans="1:7" x14ac:dyDescent="0.25">
      <c r="A16" s="336" t="s">
        <v>2</v>
      </c>
      <c r="B16" s="415">
        <f>SUM(D9:F9)</f>
        <v>5164.62</v>
      </c>
    </row>
    <row r="17" spans="1:6" x14ac:dyDescent="0.25">
      <c r="A17" s="336" t="s">
        <v>3</v>
      </c>
      <c r="B17" s="415">
        <f>SUM(D8:F8)</f>
        <v>9467.6200000000008</v>
      </c>
    </row>
    <row r="18" spans="1:6" ht="15.75" thickBot="1" x14ac:dyDescent="0.3">
      <c r="A18" s="361"/>
      <c r="B18" s="416">
        <f>SUM(B14:B17)</f>
        <v>1123917.3900000004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17AF-FF6A-4C5C-BB56-E986351B8A67}">
  <dimension ref="A1:G23"/>
  <sheetViews>
    <sheetView zoomScale="130" zoomScaleNormal="130" workbookViewId="0">
      <selection activeCell="D9" sqref="D9:D12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434</v>
      </c>
      <c r="B8" s="340" t="s">
        <v>38</v>
      </c>
      <c r="C8" s="340" t="s">
        <v>3</v>
      </c>
      <c r="D8" s="342">
        <v>0</v>
      </c>
      <c r="E8" s="342">
        <v>458.65</v>
      </c>
      <c r="F8" s="342">
        <v>9107.48</v>
      </c>
    </row>
    <row r="9" spans="1:7" x14ac:dyDescent="0.25">
      <c r="A9" s="340" t="s">
        <v>434</v>
      </c>
      <c r="B9" s="340" t="s">
        <v>38</v>
      </c>
      <c r="C9" s="340" t="s">
        <v>323</v>
      </c>
      <c r="D9" s="342">
        <v>237</v>
      </c>
      <c r="E9" s="342">
        <v>6.04</v>
      </c>
      <c r="F9" s="342">
        <v>741544.07</v>
      </c>
    </row>
    <row r="10" spans="1:7" x14ac:dyDescent="0.25">
      <c r="A10" s="340" t="s">
        <v>434</v>
      </c>
      <c r="B10" s="340" t="s">
        <v>38</v>
      </c>
      <c r="C10" s="340" t="s">
        <v>41</v>
      </c>
      <c r="D10" s="342">
        <v>91362.45</v>
      </c>
      <c r="E10" s="342">
        <v>27792.1</v>
      </c>
      <c r="F10" s="342">
        <v>887395.52</v>
      </c>
    </row>
    <row r="11" spans="1:7" x14ac:dyDescent="0.25">
      <c r="A11" s="340" t="s">
        <v>434</v>
      </c>
      <c r="B11" s="340" t="s">
        <v>39</v>
      </c>
      <c r="C11" s="340" t="s">
        <v>41</v>
      </c>
      <c r="D11" s="342">
        <v>28134.99</v>
      </c>
      <c r="E11" s="342">
        <v>6752.31</v>
      </c>
      <c r="F11" s="342">
        <v>103411.04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1006550.0700000001</v>
      </c>
      <c r="E14" s="390"/>
      <c r="F14" s="417"/>
    </row>
    <row r="15" spans="1:7" x14ac:dyDescent="0.25">
      <c r="A15" s="336" t="s">
        <v>39</v>
      </c>
      <c r="B15" s="415">
        <f>SUM(D11:F11)</f>
        <v>138298.34</v>
      </c>
    </row>
    <row r="16" spans="1:7" x14ac:dyDescent="0.25">
      <c r="A16" s="336" t="s">
        <v>2</v>
      </c>
      <c r="B16" s="415">
        <f>SUM(D9:F9)</f>
        <v>741787.11</v>
      </c>
    </row>
    <row r="17" spans="1:6" x14ac:dyDescent="0.25">
      <c r="A17" s="336" t="s">
        <v>3</v>
      </c>
      <c r="B17" s="415">
        <f>SUM(D8:F8)</f>
        <v>9566.1299999999992</v>
      </c>
    </row>
    <row r="18" spans="1:6" ht="15.75" thickBot="1" x14ac:dyDescent="0.3">
      <c r="A18" s="361"/>
      <c r="B18" s="416">
        <f>SUM(B14:B17)</f>
        <v>1896201.65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2CE03-09C6-49C8-B7BD-2FC2C236CC6D}">
  <dimension ref="A1:G23"/>
  <sheetViews>
    <sheetView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434</v>
      </c>
      <c r="B8" s="340" t="s">
        <v>38</v>
      </c>
      <c r="C8" s="340" t="s">
        <v>3</v>
      </c>
      <c r="D8" s="342">
        <v>624.24</v>
      </c>
      <c r="E8" s="342">
        <v>0</v>
      </c>
      <c r="F8" s="342">
        <v>9107.48</v>
      </c>
    </row>
    <row r="9" spans="1:7" x14ac:dyDescent="0.25">
      <c r="A9" s="340" t="s">
        <v>434</v>
      </c>
      <c r="B9" s="340" t="s">
        <v>38</v>
      </c>
      <c r="C9" s="340" t="s">
        <v>323</v>
      </c>
      <c r="D9" s="342">
        <v>6.04</v>
      </c>
      <c r="E9" s="342">
        <v>0</v>
      </c>
      <c r="F9" s="342">
        <v>742079.31</v>
      </c>
    </row>
    <row r="10" spans="1:7" x14ac:dyDescent="0.25">
      <c r="A10" s="340" t="s">
        <v>434</v>
      </c>
      <c r="B10" s="340" t="s">
        <v>38</v>
      </c>
      <c r="C10" s="340" t="s">
        <v>41</v>
      </c>
      <c r="D10" s="342">
        <v>46177.09</v>
      </c>
      <c r="E10" s="342">
        <v>28595.61</v>
      </c>
      <c r="F10" s="342">
        <v>888706.43</v>
      </c>
    </row>
    <row r="11" spans="1:7" x14ac:dyDescent="0.25">
      <c r="A11" s="340" t="s">
        <v>434</v>
      </c>
      <c r="B11" s="340" t="s">
        <v>39</v>
      </c>
      <c r="C11" s="340" t="s">
        <v>41</v>
      </c>
      <c r="D11" s="342">
        <v>8794.0300000000007</v>
      </c>
      <c r="E11" s="342">
        <v>6602.34</v>
      </c>
      <c r="F11" s="342">
        <v>114743.98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963479.13</v>
      </c>
      <c r="E14" s="390"/>
      <c r="F14" s="417"/>
    </row>
    <row r="15" spans="1:7" x14ac:dyDescent="0.25">
      <c r="A15" s="336" t="s">
        <v>39</v>
      </c>
      <c r="B15" s="415">
        <f>SUM(D11:F11)</f>
        <v>130140.34999999999</v>
      </c>
    </row>
    <row r="16" spans="1:7" x14ac:dyDescent="0.25">
      <c r="A16" s="336" t="s">
        <v>2</v>
      </c>
      <c r="B16" s="415">
        <f>SUM(D9:F9)</f>
        <v>742085.35000000009</v>
      </c>
    </row>
    <row r="17" spans="1:6" x14ac:dyDescent="0.25">
      <c r="A17" s="336" t="s">
        <v>3</v>
      </c>
      <c r="B17" s="415">
        <f>SUM(D8:F8)</f>
        <v>9731.7199999999993</v>
      </c>
    </row>
    <row r="18" spans="1:6" ht="15.75" thickBot="1" x14ac:dyDescent="0.3">
      <c r="A18" s="361"/>
      <c r="B18" s="416">
        <f>SUM(B14:B17)</f>
        <v>1845436.55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IH36"/>
  <sheetViews>
    <sheetView zoomScale="110" zoomScaleNormal="110" workbookViewId="0">
      <pane xSplit="1" ySplit="1" topLeftCell="HR2" activePane="bottomRight" state="frozen"/>
      <selection pane="topRight" activeCell="B1" sqref="B1"/>
      <selection pane="bottomLeft" activeCell="A2" sqref="A2"/>
      <selection pane="bottomRight" activeCell="HX30" sqref="HX30"/>
    </sheetView>
  </sheetViews>
  <sheetFormatPr defaultColWidth="11.5703125" defaultRowHeight="15" customHeight="1" x14ac:dyDescent="0.25"/>
  <cols>
    <col min="1" max="1" width="20.42578125" style="385" bestFit="1" customWidth="1"/>
    <col min="2" max="216" width="13.28515625" style="383" customWidth="1"/>
    <col min="217" max="229" width="12.28515625" style="383" customWidth="1"/>
    <col min="230" max="230" width="2.7109375" style="383" customWidth="1"/>
    <col min="231" max="234" width="11.5703125" style="383"/>
    <col min="235" max="235" width="4.42578125" style="383" customWidth="1"/>
    <col min="236" max="236" width="3.85546875" style="383" customWidth="1"/>
    <col min="237" max="237" width="6.28515625" style="383" customWidth="1"/>
    <col min="238" max="240" width="11.5703125" style="383"/>
    <col min="241" max="242" width="12.7109375" style="383" bestFit="1" customWidth="1"/>
    <col min="243" max="16384" width="11.5703125" style="383"/>
  </cols>
  <sheetData>
    <row r="1" spans="1:242" s="380" customFormat="1" ht="15" customHeight="1" x14ac:dyDescent="0.25">
      <c r="A1" s="377"/>
      <c r="B1" s="378">
        <v>39264</v>
      </c>
      <c r="C1" s="378">
        <v>39295</v>
      </c>
      <c r="D1" s="378">
        <v>39326</v>
      </c>
      <c r="E1" s="378">
        <v>39356</v>
      </c>
      <c r="F1" s="378">
        <v>39387</v>
      </c>
      <c r="G1" s="378">
        <v>39417</v>
      </c>
      <c r="H1" s="378">
        <v>39448</v>
      </c>
      <c r="I1" s="378">
        <v>39479</v>
      </c>
      <c r="J1" s="378">
        <v>39508</v>
      </c>
      <c r="K1" s="378">
        <v>39539</v>
      </c>
      <c r="L1" s="378">
        <v>39569</v>
      </c>
      <c r="M1" s="378">
        <v>39600</v>
      </c>
      <c r="N1" s="378">
        <v>39630</v>
      </c>
      <c r="O1" s="378">
        <v>39661</v>
      </c>
      <c r="P1" s="378">
        <v>39692</v>
      </c>
      <c r="Q1" s="378">
        <v>39722</v>
      </c>
      <c r="R1" s="378">
        <v>39753</v>
      </c>
      <c r="S1" s="378">
        <v>39783</v>
      </c>
      <c r="T1" s="378">
        <v>39814</v>
      </c>
      <c r="U1" s="378">
        <v>39845</v>
      </c>
      <c r="V1" s="378">
        <v>39873</v>
      </c>
      <c r="W1" s="378">
        <v>39904</v>
      </c>
      <c r="X1" s="378">
        <v>39934</v>
      </c>
      <c r="Y1" s="378">
        <v>39965</v>
      </c>
      <c r="Z1" s="378">
        <v>39995</v>
      </c>
      <c r="AA1" s="378">
        <v>40026</v>
      </c>
      <c r="AB1" s="378">
        <v>40057</v>
      </c>
      <c r="AC1" s="378">
        <v>40087</v>
      </c>
      <c r="AD1" s="378">
        <v>40118</v>
      </c>
      <c r="AE1" s="378">
        <v>40148</v>
      </c>
      <c r="AF1" s="379">
        <v>40179</v>
      </c>
      <c r="AG1" s="379">
        <v>40210</v>
      </c>
      <c r="AH1" s="379">
        <v>40238</v>
      </c>
      <c r="AI1" s="379">
        <v>40269</v>
      </c>
      <c r="AJ1" s="379">
        <v>40299</v>
      </c>
      <c r="AK1" s="379">
        <v>40330</v>
      </c>
      <c r="AL1" s="379">
        <v>40360</v>
      </c>
      <c r="AM1" s="379">
        <v>40391</v>
      </c>
      <c r="AN1" s="379">
        <v>40422</v>
      </c>
      <c r="AO1" s="379">
        <v>40452</v>
      </c>
      <c r="AP1" s="379">
        <v>40483</v>
      </c>
      <c r="AQ1" s="379">
        <v>40513</v>
      </c>
      <c r="AR1" s="379">
        <v>40544</v>
      </c>
      <c r="AS1" s="379">
        <v>40575</v>
      </c>
      <c r="AT1" s="379">
        <v>40603</v>
      </c>
      <c r="AU1" s="379">
        <v>40634</v>
      </c>
      <c r="AV1" s="379">
        <v>40664</v>
      </c>
      <c r="AW1" s="379">
        <v>40695</v>
      </c>
      <c r="AX1" s="379">
        <v>40725</v>
      </c>
      <c r="AY1" s="379">
        <v>40756</v>
      </c>
      <c r="AZ1" s="379">
        <v>40787</v>
      </c>
      <c r="BA1" s="379">
        <v>40817</v>
      </c>
      <c r="BB1" s="379">
        <v>40848</v>
      </c>
      <c r="BC1" s="379">
        <v>40878</v>
      </c>
      <c r="BD1" s="379">
        <v>40909</v>
      </c>
      <c r="BE1" s="379">
        <v>40940</v>
      </c>
      <c r="BF1" s="379">
        <v>40969</v>
      </c>
      <c r="BG1" s="379">
        <v>41000</v>
      </c>
      <c r="BH1" s="379">
        <v>41030</v>
      </c>
      <c r="BI1" s="379">
        <v>41061</v>
      </c>
      <c r="BJ1" s="379">
        <v>41091</v>
      </c>
      <c r="BK1" s="379">
        <v>41122</v>
      </c>
      <c r="BL1" s="379">
        <v>41153</v>
      </c>
      <c r="BM1" s="379">
        <v>41183</v>
      </c>
      <c r="BN1" s="379">
        <v>41214</v>
      </c>
      <c r="BO1" s="379">
        <v>41244</v>
      </c>
      <c r="BP1" s="379">
        <v>41275</v>
      </c>
      <c r="BQ1" s="379">
        <v>41306</v>
      </c>
      <c r="BR1" s="379">
        <v>41334</v>
      </c>
      <c r="BS1" s="379">
        <v>41365</v>
      </c>
      <c r="BT1" s="379">
        <v>41395</v>
      </c>
      <c r="BU1" s="379">
        <v>41426</v>
      </c>
      <c r="BV1" s="379">
        <v>41456</v>
      </c>
      <c r="BW1" s="379">
        <v>41487</v>
      </c>
      <c r="BX1" s="379">
        <v>41518</v>
      </c>
      <c r="BY1" s="379">
        <v>41548</v>
      </c>
      <c r="BZ1" s="379">
        <v>41579</v>
      </c>
      <c r="CA1" s="379">
        <v>41609</v>
      </c>
      <c r="CB1" s="379">
        <v>41640</v>
      </c>
      <c r="CC1" s="379">
        <v>41671</v>
      </c>
      <c r="CD1" s="379">
        <v>41699</v>
      </c>
      <c r="CE1" s="379">
        <v>41730</v>
      </c>
      <c r="CF1" s="379">
        <v>41760</v>
      </c>
      <c r="CG1" s="379">
        <v>41791</v>
      </c>
      <c r="CH1" s="379">
        <v>41821</v>
      </c>
      <c r="CI1" s="379">
        <v>41852</v>
      </c>
      <c r="CJ1" s="379">
        <v>41883</v>
      </c>
      <c r="CK1" s="379">
        <v>41913</v>
      </c>
      <c r="CL1" s="379">
        <v>41944</v>
      </c>
      <c r="CM1" s="379">
        <v>41974</v>
      </c>
      <c r="CN1" s="379">
        <v>42005</v>
      </c>
      <c r="CO1" s="379">
        <v>42036</v>
      </c>
      <c r="CP1" s="379">
        <v>42064</v>
      </c>
      <c r="CQ1" s="379">
        <v>42095</v>
      </c>
      <c r="CR1" s="379">
        <v>42125</v>
      </c>
      <c r="CS1" s="379">
        <v>42156</v>
      </c>
      <c r="CT1" s="379">
        <v>42186</v>
      </c>
      <c r="CU1" s="379">
        <v>42217</v>
      </c>
      <c r="CV1" s="379">
        <v>42248</v>
      </c>
      <c r="CW1" s="379">
        <v>42278</v>
      </c>
      <c r="CX1" s="379">
        <v>42309</v>
      </c>
      <c r="CY1" s="379">
        <v>42339</v>
      </c>
      <c r="CZ1" s="379">
        <v>42370</v>
      </c>
      <c r="DA1" s="379">
        <v>42401</v>
      </c>
      <c r="DB1" s="379">
        <v>42430</v>
      </c>
      <c r="DC1" s="379">
        <v>42461</v>
      </c>
      <c r="DD1" s="379">
        <v>42491</v>
      </c>
      <c r="DE1" s="379">
        <v>42522</v>
      </c>
      <c r="DF1" s="379">
        <v>42552</v>
      </c>
      <c r="DG1" s="379">
        <v>42583</v>
      </c>
      <c r="DH1" s="379">
        <v>42614</v>
      </c>
      <c r="DI1" s="379">
        <v>42644</v>
      </c>
      <c r="DJ1" s="379">
        <v>42675</v>
      </c>
      <c r="DK1" s="379">
        <v>42705</v>
      </c>
      <c r="DL1" s="379">
        <v>42736</v>
      </c>
      <c r="DM1" s="379">
        <v>42767</v>
      </c>
      <c r="DN1" s="379">
        <v>42795</v>
      </c>
      <c r="DO1" s="379">
        <v>42826</v>
      </c>
      <c r="DP1" s="379">
        <v>42856</v>
      </c>
      <c r="DQ1" s="379">
        <v>42887</v>
      </c>
      <c r="DR1" s="379">
        <v>42917</v>
      </c>
      <c r="DS1" s="379">
        <v>42948</v>
      </c>
      <c r="DT1" s="379">
        <v>42979</v>
      </c>
      <c r="DU1" s="379">
        <v>43009</v>
      </c>
      <c r="DV1" s="379">
        <v>43040</v>
      </c>
      <c r="DW1" s="379">
        <v>43070</v>
      </c>
      <c r="DX1" s="379">
        <v>43101</v>
      </c>
      <c r="DY1" s="379">
        <v>43132</v>
      </c>
      <c r="DZ1" s="379">
        <v>43160</v>
      </c>
      <c r="EA1" s="379">
        <v>43191</v>
      </c>
      <c r="EB1" s="379">
        <v>43221</v>
      </c>
      <c r="EC1" s="379">
        <v>43252</v>
      </c>
      <c r="ED1" s="379">
        <v>43282</v>
      </c>
      <c r="EE1" s="379">
        <v>43313</v>
      </c>
      <c r="EF1" s="379">
        <v>43344</v>
      </c>
      <c r="EG1" s="379">
        <v>43374</v>
      </c>
      <c r="EH1" s="379">
        <v>43405</v>
      </c>
      <c r="EI1" s="379">
        <v>43435</v>
      </c>
      <c r="EJ1" s="379">
        <v>43466</v>
      </c>
      <c r="EK1" s="379">
        <v>43497</v>
      </c>
      <c r="EL1" s="379">
        <v>43525</v>
      </c>
      <c r="EM1" s="379">
        <v>43556</v>
      </c>
      <c r="EN1" s="379">
        <v>43586</v>
      </c>
      <c r="EO1" s="379">
        <v>43617</v>
      </c>
      <c r="EP1" s="379">
        <v>43647</v>
      </c>
      <c r="EQ1" s="379">
        <v>43678</v>
      </c>
      <c r="ER1" s="379">
        <v>43709</v>
      </c>
      <c r="ES1" s="379">
        <v>43739</v>
      </c>
      <c r="ET1" s="379">
        <v>43770</v>
      </c>
      <c r="EU1" s="379">
        <v>43800</v>
      </c>
      <c r="EV1" s="379">
        <v>43831</v>
      </c>
      <c r="EW1" s="379">
        <v>43862</v>
      </c>
      <c r="EX1" s="379">
        <v>43891</v>
      </c>
      <c r="EY1" s="379">
        <v>43922</v>
      </c>
      <c r="EZ1" s="379">
        <v>43952</v>
      </c>
      <c r="FA1" s="379">
        <v>43983</v>
      </c>
      <c r="FB1" s="379">
        <v>44013</v>
      </c>
      <c r="FC1" s="379">
        <v>44044</v>
      </c>
      <c r="FD1" s="379">
        <v>44075</v>
      </c>
      <c r="FE1" s="379">
        <v>44105</v>
      </c>
      <c r="FF1" s="379">
        <v>44136</v>
      </c>
      <c r="FG1" s="379">
        <v>44166</v>
      </c>
      <c r="FH1" s="379">
        <v>44197</v>
      </c>
      <c r="FI1" s="379">
        <v>44228</v>
      </c>
      <c r="FJ1" s="379">
        <v>44256</v>
      </c>
      <c r="FK1" s="379">
        <v>44287</v>
      </c>
      <c r="FL1" s="379">
        <v>44317</v>
      </c>
      <c r="FM1" s="379">
        <v>44348</v>
      </c>
      <c r="FN1" s="379">
        <f>EOMONTH(FM1,0)+1</f>
        <v>44378</v>
      </c>
      <c r="FO1" s="379">
        <f t="shared" ref="FO1:FX1" si="0">EOMONTH(FN1,0)+1</f>
        <v>44409</v>
      </c>
      <c r="FP1" s="379">
        <f t="shared" si="0"/>
        <v>44440</v>
      </c>
      <c r="FQ1" s="379">
        <f t="shared" si="0"/>
        <v>44470</v>
      </c>
      <c r="FR1" s="379">
        <f t="shared" si="0"/>
        <v>44501</v>
      </c>
      <c r="FS1" s="379">
        <f t="shared" si="0"/>
        <v>44531</v>
      </c>
      <c r="FT1" s="379">
        <f t="shared" si="0"/>
        <v>44562</v>
      </c>
      <c r="FU1" s="379">
        <f t="shared" si="0"/>
        <v>44593</v>
      </c>
      <c r="FV1" s="379">
        <f t="shared" si="0"/>
        <v>44621</v>
      </c>
      <c r="FW1" s="379">
        <f t="shared" si="0"/>
        <v>44652</v>
      </c>
      <c r="FX1" s="379">
        <f t="shared" si="0"/>
        <v>44682</v>
      </c>
      <c r="FY1" s="379">
        <f t="shared" ref="FY1" si="1">EOMONTH(FX1,0)+1</f>
        <v>44713</v>
      </c>
      <c r="FZ1" s="379">
        <f t="shared" ref="FZ1" si="2">EOMONTH(FY1,0)+1</f>
        <v>44743</v>
      </c>
      <c r="GA1" s="379">
        <f t="shared" ref="GA1" si="3">EOMONTH(FZ1,0)+1</f>
        <v>44774</v>
      </c>
      <c r="GB1" s="379">
        <f t="shared" ref="GB1" si="4">EOMONTH(GA1,0)+1</f>
        <v>44805</v>
      </c>
      <c r="GC1" s="379">
        <f t="shared" ref="GC1" si="5">EOMONTH(GB1,0)+1</f>
        <v>44835</v>
      </c>
      <c r="GD1" s="379">
        <f t="shared" ref="GD1" si="6">EOMONTH(GC1,0)+1</f>
        <v>44866</v>
      </c>
      <c r="GE1" s="379">
        <f t="shared" ref="GE1" si="7">EOMONTH(GD1,0)+1</f>
        <v>44896</v>
      </c>
      <c r="GF1" s="379">
        <f>EOMONTH(GE1,0)+1</f>
        <v>44927</v>
      </c>
      <c r="GG1" s="379">
        <f t="shared" ref="GG1" si="8">EOMONTH(GF1,0)+1</f>
        <v>44958</v>
      </c>
      <c r="GH1" s="379">
        <f t="shared" ref="GH1" si="9">EOMONTH(GG1,0)+1</f>
        <v>44986</v>
      </c>
      <c r="GI1" s="379">
        <f t="shared" ref="GI1" si="10">EOMONTH(GH1,0)+1</f>
        <v>45017</v>
      </c>
      <c r="GJ1" s="379">
        <f t="shared" ref="GJ1" si="11">EOMONTH(GI1,0)+1</f>
        <v>45047</v>
      </c>
      <c r="GK1" s="379">
        <f t="shared" ref="GK1:GL1" si="12">EOMONTH(GJ1,0)+1</f>
        <v>45078</v>
      </c>
      <c r="GL1" s="379">
        <f t="shared" si="12"/>
        <v>45108</v>
      </c>
      <c r="GM1" s="379">
        <f t="shared" ref="GM1" si="13">EOMONTH(GL1,0)+1</f>
        <v>45139</v>
      </c>
      <c r="GN1" s="379">
        <f t="shared" ref="GN1" si="14">EOMONTH(GM1,0)+1</f>
        <v>45170</v>
      </c>
      <c r="GO1" s="379">
        <f t="shared" ref="GO1" si="15">EOMONTH(GN1,0)+1</f>
        <v>45200</v>
      </c>
      <c r="GP1" s="379">
        <f t="shared" ref="GP1" si="16">EOMONTH(GO1,0)+1</f>
        <v>45231</v>
      </c>
      <c r="GQ1" s="379">
        <f t="shared" ref="GQ1" si="17">EOMONTH(GP1,0)+1</f>
        <v>45261</v>
      </c>
      <c r="GR1" s="379">
        <f t="shared" ref="GR1" si="18">EOMONTH(GQ1,0)+1</f>
        <v>45292</v>
      </c>
      <c r="GS1" s="379">
        <f>EOMONTH(GR1,0)+1</f>
        <v>45323</v>
      </c>
      <c r="GT1" s="379">
        <f t="shared" ref="GT1" si="19">EOMONTH(GS1,0)+1</f>
        <v>45352</v>
      </c>
      <c r="GU1" s="379">
        <f t="shared" ref="GU1" si="20">EOMONTH(GT1,0)+1</f>
        <v>45383</v>
      </c>
      <c r="GV1" s="379">
        <f t="shared" ref="GV1" si="21">EOMONTH(GU1,0)+1</f>
        <v>45413</v>
      </c>
      <c r="GW1" s="379">
        <f t="shared" ref="GW1" si="22">EOMONTH(GV1,0)+1</f>
        <v>45444</v>
      </c>
      <c r="GX1" s="379">
        <f t="shared" ref="GX1" si="23">EOMONTH(GW1,0)+1</f>
        <v>45474</v>
      </c>
      <c r="GY1" s="379">
        <f t="shared" ref="GY1" si="24">EOMONTH(GX1,0)+1</f>
        <v>45505</v>
      </c>
      <c r="GZ1" s="379">
        <f t="shared" ref="GZ1" si="25">EOMONTH(GY1,0)+1</f>
        <v>45536</v>
      </c>
      <c r="HA1" s="379">
        <f t="shared" ref="HA1" si="26">EOMONTH(GZ1,0)+1</f>
        <v>45566</v>
      </c>
      <c r="HB1" s="379">
        <f t="shared" ref="HB1" si="27">EOMONTH(HA1,0)+1</f>
        <v>45597</v>
      </c>
      <c r="HC1" s="379">
        <f t="shared" ref="HC1" si="28">EOMONTH(HB1,0)+1</f>
        <v>45627</v>
      </c>
      <c r="HD1" s="379">
        <f t="shared" ref="HD1" si="29">EOMONTH(HC1,0)+1</f>
        <v>45658</v>
      </c>
      <c r="HE1" s="379">
        <f t="shared" ref="HE1" si="30">EOMONTH(HD1,0)+1</f>
        <v>45689</v>
      </c>
      <c r="HF1" s="379">
        <f t="shared" ref="HF1" si="31">EOMONTH(HE1,0)+1</f>
        <v>45717</v>
      </c>
      <c r="HG1" s="379">
        <f t="shared" ref="HG1" si="32">EOMONTH(HF1,0)+1</f>
        <v>45748</v>
      </c>
      <c r="HH1" s="379">
        <f t="shared" ref="HH1" si="33">EOMONTH(HG1,0)+1</f>
        <v>45778</v>
      </c>
      <c r="HI1" s="379">
        <f t="shared" ref="HI1" si="34">EOMONTH(HH1,0)+1</f>
        <v>45809</v>
      </c>
      <c r="HJ1" s="379">
        <f t="shared" ref="HJ1" si="35">EOMONTH(HI1,0)+1</f>
        <v>45839</v>
      </c>
      <c r="HK1" s="379">
        <f t="shared" ref="HK1" si="36">EOMONTH(HJ1,0)+1</f>
        <v>45870</v>
      </c>
      <c r="HL1" s="379">
        <f t="shared" ref="HL1" si="37">EOMONTH(HK1,0)+1</f>
        <v>45901</v>
      </c>
      <c r="HM1" s="379">
        <f t="shared" ref="HM1" si="38">EOMONTH(HL1,0)+1</f>
        <v>45931</v>
      </c>
      <c r="HN1" s="379">
        <f t="shared" ref="HN1" si="39">EOMONTH(HM1,0)+1</f>
        <v>45962</v>
      </c>
      <c r="HO1" s="379">
        <f t="shared" ref="HO1" si="40">EOMONTH(HN1,0)+1</f>
        <v>45992</v>
      </c>
      <c r="HP1" s="379">
        <f t="shared" ref="HP1" si="41">EOMONTH(HO1,0)+1</f>
        <v>46023</v>
      </c>
      <c r="HQ1" s="379">
        <f t="shared" ref="HQ1" si="42">EOMONTH(HP1,0)+1</f>
        <v>46054</v>
      </c>
      <c r="HR1" s="379">
        <f t="shared" ref="HR1" si="43">EOMONTH(HQ1,0)+1</f>
        <v>46082</v>
      </c>
      <c r="HS1" s="379">
        <f t="shared" ref="HS1" si="44">EOMONTH(HR1,0)+1</f>
        <v>46113</v>
      </c>
      <c r="HT1" s="379">
        <f t="shared" ref="HT1" si="45">EOMONTH(HS1,0)+1</f>
        <v>46143</v>
      </c>
      <c r="HU1" s="379">
        <f t="shared" ref="HU1" si="46">EOMONTH(HT1,0)+1</f>
        <v>46174</v>
      </c>
    </row>
    <row r="2" spans="1:242" ht="15" customHeight="1" thickBot="1" x14ac:dyDescent="0.3">
      <c r="A2" s="361" t="s">
        <v>0</v>
      </c>
      <c r="B2" s="381">
        <v>507533</v>
      </c>
      <c r="C2" s="381">
        <v>502154</v>
      </c>
      <c r="D2" s="381">
        <v>534566</v>
      </c>
      <c r="E2" s="381">
        <v>469393</v>
      </c>
      <c r="F2" s="381">
        <v>421665</v>
      </c>
      <c r="G2" s="381">
        <v>462439</v>
      </c>
      <c r="H2" s="381">
        <v>449670</v>
      </c>
      <c r="I2" s="381">
        <v>466595</v>
      </c>
      <c r="J2" s="381">
        <v>439821</v>
      </c>
      <c r="K2" s="381">
        <v>462029</v>
      </c>
      <c r="L2" s="381">
        <v>458429</v>
      </c>
      <c r="M2" s="381">
        <v>472766</v>
      </c>
      <c r="N2" s="381">
        <v>452380</v>
      </c>
      <c r="O2" s="381">
        <v>498965</v>
      </c>
      <c r="P2" s="381">
        <v>487850</v>
      </c>
      <c r="Q2" s="381">
        <v>451262</v>
      </c>
      <c r="R2" s="381">
        <v>506952</v>
      </c>
      <c r="S2" s="381">
        <v>515832</v>
      </c>
      <c r="T2" s="381">
        <v>533240</v>
      </c>
      <c r="U2" s="381">
        <v>503730</v>
      </c>
      <c r="V2" s="381">
        <v>567262</v>
      </c>
      <c r="W2" s="381">
        <v>523610</v>
      </c>
      <c r="X2" s="381">
        <v>709503</v>
      </c>
      <c r="Y2" s="381">
        <v>638160</v>
      </c>
      <c r="Z2" s="381">
        <v>553454</v>
      </c>
      <c r="AA2" s="381">
        <v>554536</v>
      </c>
      <c r="AB2" s="381">
        <v>581195</v>
      </c>
      <c r="AC2" s="381">
        <v>561977</v>
      </c>
      <c r="AD2" s="381">
        <v>611786</v>
      </c>
      <c r="AE2" s="381">
        <v>594965</v>
      </c>
      <c r="AF2" s="382">
        <v>617905</v>
      </c>
      <c r="AG2" s="382">
        <v>658276</v>
      </c>
      <c r="AH2" s="382">
        <v>622262</v>
      </c>
      <c r="AI2" s="382">
        <v>626252</v>
      </c>
      <c r="AJ2" s="382">
        <v>715639</v>
      </c>
      <c r="AK2" s="382">
        <v>681216</v>
      </c>
      <c r="AL2" s="382">
        <f>'Notes - Jul10'!K2</f>
        <v>665927</v>
      </c>
      <c r="AM2" s="382">
        <f>'Notes - Aug10'!K2</f>
        <v>710722</v>
      </c>
      <c r="AN2" s="382">
        <f>'Notes - Sept10'!J2</f>
        <v>580197</v>
      </c>
      <c r="AO2" s="382">
        <f>'Notes - Oct 10'!J3</f>
        <v>592026</v>
      </c>
      <c r="AP2" s="376">
        <f>'Notes - Nov 10'!J3</f>
        <v>616131</v>
      </c>
      <c r="AQ2" s="382">
        <f>'Notes - Dec 10'!J2</f>
        <v>589630</v>
      </c>
      <c r="AR2" s="382">
        <f>'Notes - Jan 11'!J2</f>
        <v>622635</v>
      </c>
      <c r="AS2" s="376">
        <f>'Notes - Feb 11'!J2</f>
        <v>652190</v>
      </c>
      <c r="AT2" s="382">
        <f>'Notes - Mar 11'!J2</f>
        <v>612655</v>
      </c>
      <c r="AU2" s="382">
        <f>'Notes - Apr 11'!I2</f>
        <v>605124</v>
      </c>
      <c r="AV2" s="382">
        <f>'Notes - May 11'!I2</f>
        <v>708681</v>
      </c>
      <c r="AW2" s="382">
        <f>'Notes - Jun 11'!I2</f>
        <v>709189</v>
      </c>
      <c r="AX2" s="382">
        <f>'Notes - Jul 11'!B17</f>
        <v>676407</v>
      </c>
      <c r="AY2" s="382">
        <f>'Notes - Aug 11'!B17</f>
        <v>719210</v>
      </c>
      <c r="AZ2" s="382">
        <f>'Notes - Sep11'!B17</f>
        <v>716903</v>
      </c>
      <c r="BA2" s="382">
        <f>'Notes - Oct11'!B17</f>
        <v>662397</v>
      </c>
      <c r="BB2" s="382">
        <f>'Notes - Nov11'!B17</f>
        <v>722989</v>
      </c>
      <c r="BC2" s="382">
        <f>'Notes - Dec11'!B17</f>
        <v>708338</v>
      </c>
      <c r="BD2" s="382">
        <f>'Notes - Jan12'!B17</f>
        <v>721119</v>
      </c>
      <c r="BE2" s="382">
        <f>'Notes - Feb12'!B17</f>
        <v>781870</v>
      </c>
      <c r="BF2" s="382">
        <f>'Notes - Mar12'!B17</f>
        <v>787524</v>
      </c>
      <c r="BG2" s="382">
        <f>'Notes - Apr12'!B17</f>
        <v>628685</v>
      </c>
      <c r="BH2" s="382">
        <f>'Notes - May12'!B17</f>
        <v>709688</v>
      </c>
      <c r="BI2" s="382">
        <f>'Notes - Jun12'!B17</f>
        <v>744290.88</v>
      </c>
      <c r="BJ2" s="382">
        <f>'Notes - Jul12'!B17</f>
        <v>686392.63</v>
      </c>
      <c r="BK2" s="382">
        <f>'Notes - Aug12'!B17</f>
        <v>761048.82000000007</v>
      </c>
      <c r="BL2" s="382">
        <f>'Notes - Sep12'!B17</f>
        <v>713980.51</v>
      </c>
      <c r="BM2" s="382">
        <f>'Notes - Oct12'!B17</f>
        <v>685196.26</v>
      </c>
      <c r="BN2" s="382">
        <f>'Notes - Nov12'!B17</f>
        <v>737674.40999999992</v>
      </c>
      <c r="BO2" s="382">
        <f>'Notes - Dec12'!B17</f>
        <v>727619.3</v>
      </c>
      <c r="BP2" s="382">
        <f>'Notes - Jan13'!B17</f>
        <v>709227.62000000011</v>
      </c>
      <c r="BQ2" s="382">
        <f>'Notes - Feb13'!B17</f>
        <v>760370.3</v>
      </c>
      <c r="BR2" s="382">
        <f>'Notes - Mar13'!B17</f>
        <v>744499.78</v>
      </c>
      <c r="BS2" s="382">
        <f>'Notes - Apr13'!B17</f>
        <v>717056.02999999991</v>
      </c>
      <c r="BT2" s="382">
        <f>'Notes - May13'!B17</f>
        <v>776062.53</v>
      </c>
      <c r="BU2" s="382">
        <f>'Notes - Jun13'!B17</f>
        <v>903047.98</v>
      </c>
      <c r="BV2" s="382">
        <f>'Notes - Jul 13'!B16</f>
        <v>877171.04</v>
      </c>
      <c r="BW2" s="382">
        <f>'Notes - Aug13'!B16</f>
        <v>1009618.4299999999</v>
      </c>
      <c r="BX2" s="382">
        <f>'Notes - Sep13'!B16</f>
        <v>1011497.49</v>
      </c>
      <c r="BY2" s="382">
        <f>'Notes - Oct13'!B16</f>
        <v>958410.12</v>
      </c>
      <c r="BZ2" s="382">
        <f>'Notes - Nov13'!B16</f>
        <v>1010807.5599999999</v>
      </c>
      <c r="CA2" s="382">
        <f>'Notes - Dec13'!B16</f>
        <v>968611.44</v>
      </c>
      <c r="CB2" s="382">
        <f>'Notes - Jan14'!B16</f>
        <v>894682.77</v>
      </c>
      <c r="CC2" s="382">
        <f>'Notes - Feb14'!B16</f>
        <v>942977.01</v>
      </c>
      <c r="CD2" s="382">
        <f>'Notes - Mar14'!B17</f>
        <v>944227.61</v>
      </c>
      <c r="CE2" s="382">
        <f>'Notes - Apr14'!B17</f>
        <v>900274.34</v>
      </c>
      <c r="CF2" s="382">
        <f>'Notes - May14'!B17</f>
        <v>998398.66999999993</v>
      </c>
      <c r="CG2" s="382">
        <f>'Notes - Jun14'!B17</f>
        <v>1015057.78</v>
      </c>
      <c r="CH2" s="382">
        <f>'Notes - Jul14'!B17</f>
        <v>856163.89999999991</v>
      </c>
      <c r="CI2" s="382">
        <f>'Notes - Aug14'!B17</f>
        <v>937251.17</v>
      </c>
      <c r="CJ2" s="382">
        <f>'Notes - Sep14'!B17</f>
        <v>912685.52</v>
      </c>
      <c r="CK2" s="382">
        <f>'Notes - Oct14'!B17</f>
        <v>835734.5</v>
      </c>
      <c r="CL2" s="382">
        <f>'Notes - Nov14'!B17</f>
        <v>926223.09</v>
      </c>
      <c r="CM2" s="382">
        <f>'Notes - Dec14'!B17</f>
        <v>915800.57</v>
      </c>
      <c r="CN2" s="382">
        <f>'Notes - Jan15'!B17</f>
        <v>881910.24</v>
      </c>
      <c r="CO2" s="382">
        <f>'Notes - Feb15'!B17</f>
        <v>922056.11</v>
      </c>
      <c r="CP2" s="382">
        <f>'Notes - Mar15'!B17</f>
        <v>864102.2</v>
      </c>
      <c r="CQ2" s="382">
        <f>'Notes - Apr15'!B17</f>
        <v>811402.3899999999</v>
      </c>
      <c r="CR2" s="382">
        <f>'Notes - May15'!B17</f>
        <v>867944.04</v>
      </c>
      <c r="CS2" s="382">
        <f>'Notes - Jun15'!B17</f>
        <v>862910.9</v>
      </c>
      <c r="CT2" s="382">
        <f>'Notes - Jul15'!B17</f>
        <v>805454.87</v>
      </c>
      <c r="CU2" s="382">
        <f>'Notes - Aug15'!B17</f>
        <v>843209.3</v>
      </c>
      <c r="CV2" s="382">
        <f>'Notes - Sep15'!B17</f>
        <v>811379.48</v>
      </c>
      <c r="CW2" s="382">
        <f>'Notes - Oct15'!B17</f>
        <v>775612.64</v>
      </c>
      <c r="CX2" s="382">
        <f>'Notes - Nov15'!B17</f>
        <v>844763.13</v>
      </c>
      <c r="CY2" s="382">
        <f>'Notes - Dec15'!B17</f>
        <v>814236.92999999993</v>
      </c>
      <c r="CZ2" s="382">
        <f>'Notes - Jan16'!B17</f>
        <v>822736.94000000006</v>
      </c>
      <c r="DA2" s="382">
        <f>'Notes - Feb16'!B14</f>
        <v>847997.87</v>
      </c>
      <c r="DB2" s="382">
        <f>'Notes - Mar16'!B14</f>
        <v>813511.88</v>
      </c>
      <c r="DC2" s="382">
        <f>'Notes - Apr16'!B14</f>
        <v>798893.84</v>
      </c>
      <c r="DD2" s="382">
        <f>'Notes - May16'!B14</f>
        <v>864684.86999999988</v>
      </c>
      <c r="DE2" s="382">
        <f>'Notes - Jun16'!B14</f>
        <v>848364.56</v>
      </c>
      <c r="DF2" s="382">
        <f>'Notes - Jul16'!B14</f>
        <v>784718.92999999993</v>
      </c>
      <c r="DG2" s="382">
        <f>'Notes - Aug16'!B14</f>
        <v>788854.75</v>
      </c>
      <c r="DH2" s="382">
        <f>'Notes - Sep16'!B14</f>
        <v>783295.15999999992</v>
      </c>
      <c r="DI2" s="382">
        <f>'Notes - Oct16'!B14</f>
        <v>783908.36</v>
      </c>
      <c r="DJ2" s="382">
        <f>'Notes - Nov16'!B14</f>
        <v>835451.33000000007</v>
      </c>
      <c r="DK2" s="382">
        <f>'Notes - Dec16'!B14</f>
        <v>826577.32</v>
      </c>
      <c r="DL2" s="382">
        <f>'Notes - Jan17'!B14</f>
        <v>819560.49</v>
      </c>
      <c r="DM2" s="382">
        <f>'Notes - Feb17 '!B14</f>
        <v>882972.41999999993</v>
      </c>
      <c r="DN2" s="382">
        <f>'Notes - Mar17'!B14</f>
        <v>837946.63</v>
      </c>
      <c r="DO2" s="382">
        <f>'Notes - April17'!B14</f>
        <v>817871.47</v>
      </c>
      <c r="DP2" s="382">
        <f>'Notes - May17'!B14</f>
        <v>902680.12999999989</v>
      </c>
      <c r="DQ2" s="382">
        <f>'Notes - June17'!B14</f>
        <v>828205.49</v>
      </c>
      <c r="DR2" s="382">
        <f>'Notes - July17'!B14</f>
        <v>784981.43</v>
      </c>
      <c r="DS2" s="382">
        <f>'Notes - Aug17'!B14</f>
        <v>844840.33</v>
      </c>
      <c r="DT2" s="382">
        <f>'Notes - Sept17'!B14</f>
        <v>837995.25</v>
      </c>
      <c r="DU2" s="382">
        <f>'Notes - Oct17'!B14</f>
        <v>831543.17999999993</v>
      </c>
      <c r="DV2" s="382">
        <f>'Notes - Nov17'!B14</f>
        <v>871735.44</v>
      </c>
      <c r="DW2" s="382">
        <f>'Notes - Dec17'!B14</f>
        <v>899498.68</v>
      </c>
      <c r="DX2" s="382">
        <f>'Notes - Jan18'!B14</f>
        <v>883636.17</v>
      </c>
      <c r="DY2" s="382">
        <f>'Notes - Feb18'!B14</f>
        <v>914467.53</v>
      </c>
      <c r="DZ2" s="382">
        <f>'Notes - Mar18'!B14</f>
        <v>936724.88</v>
      </c>
      <c r="EA2" s="382">
        <f>'Notes - Apr18'!B14</f>
        <v>924489.99</v>
      </c>
      <c r="EB2" s="382">
        <f>'Notes - May18'!B14</f>
        <v>974613.91999999993</v>
      </c>
      <c r="EC2" s="382">
        <f>'Notes - Jun18'!B14</f>
        <v>993958.84</v>
      </c>
      <c r="ED2" s="382">
        <f>'Notes - Jul18'!B14</f>
        <v>963304.15999999992</v>
      </c>
      <c r="EE2" s="382">
        <f>'Notes - Aug18'!B14</f>
        <v>1025879.78</v>
      </c>
      <c r="EF2" s="382">
        <f>'Notes - Sept18'!B14</f>
        <v>1039290.71</v>
      </c>
      <c r="EG2" s="382">
        <f>'Notes - Oct18'!B14</f>
        <v>1017333.8999999999</v>
      </c>
      <c r="EH2" s="382">
        <f>'Notes - Nov18'!B14</f>
        <v>1049298.18</v>
      </c>
      <c r="EI2" s="382">
        <f>'Notes - Dec18'!B14</f>
        <v>1035516.36</v>
      </c>
      <c r="EJ2" s="382">
        <f>'Notes - Jan19'!B14</f>
        <v>992334.01</v>
      </c>
      <c r="EK2" s="382">
        <f>'Notes - Feb19'!B14</f>
        <v>1056587.6599999999</v>
      </c>
      <c r="EL2" s="382">
        <f>'Notes - Mar19'!B14</f>
        <v>1031611.09</v>
      </c>
      <c r="EM2" s="382">
        <f>'Notes - Apr19'!B14</f>
        <v>953813.65</v>
      </c>
      <c r="EN2" s="382">
        <f>'Notes - May19'!B14</f>
        <v>1026634.65</v>
      </c>
      <c r="EO2" s="382">
        <f>'Notes - Jun19'!B14</f>
        <v>1037824.39</v>
      </c>
      <c r="EP2" s="382">
        <f>'Notes - Jul19'!B14</f>
        <v>1000048.59</v>
      </c>
      <c r="EQ2" s="382">
        <f>'Notes - Aug19'!B14</f>
        <v>1069663.3499999999</v>
      </c>
      <c r="ER2" s="382">
        <f>'Notes - Sep19'!B14</f>
        <v>1009331.83</v>
      </c>
      <c r="ES2" s="382">
        <f>'Notes - Oct19'!B14</f>
        <v>940954.17999999993</v>
      </c>
      <c r="ET2" s="382">
        <f>'Notes - Nov19'!$B14</f>
        <v>970222.69</v>
      </c>
      <c r="EU2" s="382">
        <f>'Notes - Dec19'!B14</f>
        <v>942236.87000000011</v>
      </c>
      <c r="EV2" s="382">
        <f>'Notes - Jan20'!B14</f>
        <v>927191.09000000008</v>
      </c>
      <c r="EW2" s="382">
        <f>'Notes - Feb20'!B14</f>
        <v>942704.04999999993</v>
      </c>
      <c r="EX2" s="382">
        <f>'Notes - Mar20'!B14</f>
        <v>943330.85</v>
      </c>
      <c r="EY2" s="382">
        <f>'Notes - Apr20'!B14</f>
        <v>931594.35000000009</v>
      </c>
      <c r="EZ2" s="382">
        <f>'Notes - May20'!B14</f>
        <v>995616.82000000007</v>
      </c>
      <c r="FA2" s="382">
        <f>'Notes - Jun20'!B14</f>
        <v>1010990.97</v>
      </c>
      <c r="FB2" s="382">
        <f>'Notes - Jul20'!B14</f>
        <v>944280.14999999991</v>
      </c>
      <c r="FC2" s="382">
        <f>'Notes - Aug20'!B14</f>
        <v>1027726.41</v>
      </c>
      <c r="FD2" s="382">
        <f>'Notes - Sep20'!B14</f>
        <v>1038377.72</v>
      </c>
      <c r="FE2" s="382">
        <f>'Notes - Oct20'!B14</f>
        <v>1029425.07</v>
      </c>
      <c r="FF2" s="382">
        <f>'Notes - Nov20'!B14</f>
        <v>1081167.77</v>
      </c>
      <c r="FG2" s="382">
        <f>'Notes - Dec20'!B14</f>
        <v>986646.73</v>
      </c>
      <c r="FH2" s="382">
        <f>'Notes - Jan21'!B14</f>
        <v>995949.58</v>
      </c>
      <c r="FI2" s="382">
        <f>'Notes - Feb21'!B14</f>
        <v>1084260.52</v>
      </c>
      <c r="FJ2" s="382">
        <f>'Notes - Mar21'!B14</f>
        <v>1151175.74</v>
      </c>
      <c r="FK2" s="382">
        <f>'Notes - Apr21'!B14</f>
        <v>1147223.8400000001</v>
      </c>
      <c r="FL2" s="382">
        <f>'Notes - May21'!B14</f>
        <v>1185069.68</v>
      </c>
      <c r="FM2" s="382">
        <f>'Notes - Jun21'!B14</f>
        <v>1227314.69</v>
      </c>
      <c r="FN2" s="382">
        <f>'Notes - Jul21'!B14</f>
        <v>1233041.73</v>
      </c>
      <c r="FO2" s="382">
        <f>'Notes - Aug21'!B14</f>
        <v>1283055.2</v>
      </c>
      <c r="FP2" s="382">
        <f>'Notes - Sept21'!B14</f>
        <v>1322089.0699999998</v>
      </c>
      <c r="FQ2" s="382">
        <f>'Notes - Oct21'!B14</f>
        <v>1148080.74</v>
      </c>
      <c r="FR2" s="382">
        <f>'Notes - Nov21'!B14</f>
        <v>1139262.1200000001</v>
      </c>
      <c r="FS2" s="382">
        <f>'Notes - Dec21'!B14</f>
        <v>1130591.73</v>
      </c>
      <c r="FT2" s="382">
        <f>'Notes - Jan22'!B14</f>
        <v>1156177.83</v>
      </c>
      <c r="FU2" s="382">
        <f>'Notes - Feb22'!B14</f>
        <v>1159452.4099999999</v>
      </c>
      <c r="FV2" s="382">
        <f>'Notes - March22'!B14</f>
        <v>1091007.3799999999</v>
      </c>
      <c r="FW2" s="382">
        <f>'Notes - April22'!B14</f>
        <v>988827.73</v>
      </c>
      <c r="FX2" s="382">
        <f>'Notes - May22'!B14</f>
        <v>1019064.91</v>
      </c>
      <c r="FY2" s="382">
        <f>'Notes - June22'!B14</f>
        <v>1100282.57</v>
      </c>
      <c r="FZ2" s="382">
        <f>'Notes - July22'!B14</f>
        <v>1112196.8199999998</v>
      </c>
      <c r="GA2" s="382">
        <f>'Notes - AUG22'!B14</f>
        <v>1128019.07</v>
      </c>
      <c r="GB2" s="382">
        <f>'Notes - Sep22'!B14</f>
        <v>1010436.5800000001</v>
      </c>
      <c r="GC2" s="382">
        <f>'Notes - Oct22'!B14</f>
        <v>963479.13</v>
      </c>
      <c r="GD2" s="382">
        <f>'Notes - Nov22'!B14</f>
        <v>1006550.0700000001</v>
      </c>
      <c r="GE2" s="382">
        <f>'Notes - Dec22'!B14</f>
        <v>980062.21000000008</v>
      </c>
      <c r="GF2" s="382">
        <f>'Notes - Jan23'!B14</f>
        <v>974051.59</v>
      </c>
      <c r="GG2" s="382">
        <f>'Notes - Feb23'!B14</f>
        <v>1095141.5</v>
      </c>
      <c r="GH2" s="382">
        <f>'Notes - Mar23'!B14</f>
        <v>1061204.8599999999</v>
      </c>
      <c r="GI2" s="382">
        <f>'Notes - Apr23'!B14</f>
        <v>1066865.1600000001</v>
      </c>
      <c r="GJ2" s="382">
        <f>'Notes - May23'!B14</f>
        <v>1093284.9099999999</v>
      </c>
      <c r="GK2" s="382">
        <f>'Notes - Jun23'!B14</f>
        <v>1100287.8</v>
      </c>
      <c r="GL2" s="382">
        <f>'Notes - Jul23'!B14</f>
        <v>1106754.69</v>
      </c>
      <c r="GM2" s="382">
        <f>'Notes - Aug23'!B14</f>
        <v>1171403.3400000001</v>
      </c>
      <c r="GN2" s="382">
        <f>'Notes - Sep23'!B14</f>
        <v>1183907.27</v>
      </c>
      <c r="GO2" s="382">
        <f>'Notes - Oct23'!B14</f>
        <v>1188174.6500000001</v>
      </c>
      <c r="GP2" s="382">
        <f>'Notes - Nov23'!B14</f>
        <v>1240035.76</v>
      </c>
      <c r="GQ2" s="382">
        <f>'Notes - Dec23'!B14</f>
        <v>1200307.06</v>
      </c>
      <c r="GR2" s="382">
        <f>'Notes - Jan24'!B14</f>
        <v>1201926.6499999999</v>
      </c>
      <c r="GS2" s="382">
        <f>'Notes - Feb24'!B14</f>
        <v>1214495.74</v>
      </c>
      <c r="GT2" s="382">
        <f>'Notes - Mar24'!B14</f>
        <v>1246448.1400000001</v>
      </c>
      <c r="GU2" s="382">
        <f>'Notes - Apr24'!B14</f>
        <v>1229940.1200000001</v>
      </c>
      <c r="GV2" s="382">
        <f>'Notes - May24'!B14</f>
        <v>1278460</v>
      </c>
      <c r="GW2" s="382">
        <f>'Notes - Jun24'!B14</f>
        <v>1330717.9000000001</v>
      </c>
      <c r="GX2" s="382">
        <f>'Notes - Jul24'!B14</f>
        <v>1293997.6599999999</v>
      </c>
      <c r="GY2" s="382">
        <f>'Notes - Aug24'!B14</f>
        <v>1343921.89</v>
      </c>
      <c r="GZ2" s="382">
        <f>'Notes - Sep24'!B14</f>
        <v>1408350.08</v>
      </c>
      <c r="HA2" s="382">
        <f>'Notes - Oct24'!B14</f>
        <v>1339591.55</v>
      </c>
      <c r="HB2" s="382">
        <f>'Notes - Nov24'!B14</f>
        <v>1409918.8399999999</v>
      </c>
      <c r="HC2" s="382">
        <f>'Notes - Dec24'!B14</f>
        <v>1439647.91</v>
      </c>
      <c r="HD2" s="382">
        <f>'Notes - Jan25'!B14</f>
        <v>1433913.3399999999</v>
      </c>
      <c r="HE2" s="382">
        <f>'Notes - Feb25'!B14</f>
        <v>1483188.8800000001</v>
      </c>
      <c r="HF2" s="382">
        <f>'Notes - Mar25'!B14</f>
        <v>1518257.67</v>
      </c>
      <c r="HG2" s="382">
        <f>'Notes - Apr25'!B14</f>
        <v>1469772.82</v>
      </c>
      <c r="HH2" s="382">
        <f>'Notes - May25'!B14</f>
        <v>1558603.8399999999</v>
      </c>
      <c r="HI2" s="382">
        <f>'Notes - Jun25'!B14</f>
        <v>1591493.28</v>
      </c>
      <c r="HJ2" s="382"/>
      <c r="HK2" s="382"/>
      <c r="HL2" s="382"/>
      <c r="HM2" s="382"/>
      <c r="HN2" s="382"/>
      <c r="HO2" s="382"/>
      <c r="HP2" s="382"/>
      <c r="HQ2" s="382"/>
      <c r="HR2" s="382"/>
      <c r="HS2" s="382"/>
      <c r="HT2" s="382"/>
      <c r="HU2" s="382"/>
    </row>
    <row r="3" spans="1:242" ht="15" customHeight="1" thickBot="1" x14ac:dyDescent="0.3">
      <c r="A3" s="361" t="s">
        <v>1</v>
      </c>
      <c r="B3" s="381">
        <v>100434</v>
      </c>
      <c r="C3" s="381">
        <v>103760</v>
      </c>
      <c r="D3" s="381">
        <v>107700</v>
      </c>
      <c r="E3" s="381">
        <v>97558</v>
      </c>
      <c r="F3" s="381">
        <v>96641</v>
      </c>
      <c r="G3" s="381">
        <v>99304</v>
      </c>
      <c r="H3" s="381">
        <v>96357</v>
      </c>
      <c r="I3" s="381">
        <v>96090</v>
      </c>
      <c r="J3" s="381">
        <v>98017</v>
      </c>
      <c r="K3" s="381">
        <v>93678</v>
      </c>
      <c r="L3" s="381">
        <v>95752</v>
      </c>
      <c r="M3" s="381">
        <v>82534</v>
      </c>
      <c r="N3" s="381">
        <v>76604</v>
      </c>
      <c r="O3" s="381">
        <v>88105</v>
      </c>
      <c r="P3" s="381">
        <v>86515</v>
      </c>
      <c r="Q3" s="381">
        <v>84153</v>
      </c>
      <c r="R3" s="381">
        <v>93810</v>
      </c>
      <c r="S3" s="381">
        <v>93128</v>
      </c>
      <c r="T3" s="381">
        <v>104853</v>
      </c>
      <c r="U3" s="381">
        <v>108605</v>
      </c>
      <c r="V3" s="381">
        <v>116305</v>
      </c>
      <c r="W3" s="381">
        <v>114966</v>
      </c>
      <c r="X3" s="381">
        <v>137614</v>
      </c>
      <c r="Y3" s="381">
        <v>152846</v>
      </c>
      <c r="Z3" s="381">
        <v>151656</v>
      </c>
      <c r="AA3" s="381">
        <v>153721</v>
      </c>
      <c r="AB3" s="381">
        <v>161609</v>
      </c>
      <c r="AC3" s="381">
        <v>163999</v>
      </c>
      <c r="AD3" s="381">
        <v>179556</v>
      </c>
      <c r="AE3" s="381">
        <v>174759</v>
      </c>
      <c r="AF3" s="382">
        <v>175241</v>
      </c>
      <c r="AG3" s="382">
        <v>188597</v>
      </c>
      <c r="AH3" s="382">
        <v>183941</v>
      </c>
      <c r="AI3" s="382">
        <v>183489</v>
      </c>
      <c r="AJ3" s="382">
        <v>206984</v>
      </c>
      <c r="AK3" s="382">
        <v>191470</v>
      </c>
      <c r="AL3" s="382">
        <f>'Notes - Jul10'!K3</f>
        <v>174699</v>
      </c>
      <c r="AM3" s="382">
        <f>'Notes - Aug10'!K3</f>
        <v>187585</v>
      </c>
      <c r="AN3" s="382">
        <f>'Notes - Sept10'!J3</f>
        <v>173055</v>
      </c>
      <c r="AO3" s="382">
        <f>'Notes - Oct 10'!J4</f>
        <v>167988</v>
      </c>
      <c r="AP3" s="376">
        <f>'Notes - Nov 10'!J4</f>
        <v>181298</v>
      </c>
      <c r="AQ3" s="382">
        <f>'Notes - Dec 10'!J3</f>
        <v>172147</v>
      </c>
      <c r="AR3" s="382">
        <f>'Notes - Jan 11'!J3</f>
        <v>175309</v>
      </c>
      <c r="AS3" s="376">
        <f>'Notes - Feb 11'!J3</f>
        <v>197533</v>
      </c>
      <c r="AT3" s="382">
        <f>'Notes - Mar 11'!J3</f>
        <v>175712</v>
      </c>
      <c r="AU3" s="382">
        <f>'Notes - Apr 11'!I3</f>
        <v>177080</v>
      </c>
      <c r="AV3" s="382">
        <f>'Notes - May 11'!I3</f>
        <v>204752</v>
      </c>
      <c r="AW3" s="382">
        <f>'Notes - Jun 11'!I3</f>
        <v>192145</v>
      </c>
      <c r="AX3" s="382">
        <f>'Notes - Jul 11'!B18</f>
        <v>160974</v>
      </c>
      <c r="AY3" s="382">
        <f>'Notes - Aug 11'!B18</f>
        <v>172699</v>
      </c>
      <c r="AZ3" s="382">
        <f>'Notes - Sep11'!B18</f>
        <v>170399</v>
      </c>
      <c r="BA3" s="382">
        <f>'Notes - Oct11'!B18</f>
        <v>160390</v>
      </c>
      <c r="BB3" s="382">
        <f>'Notes - Nov11'!B18</f>
        <v>159282</v>
      </c>
      <c r="BC3" s="382">
        <f>'Notes - Dec11'!B18</f>
        <v>167394</v>
      </c>
      <c r="BD3" s="382">
        <f>'Notes - Jan12'!B18</f>
        <v>164421</v>
      </c>
      <c r="BE3" s="382">
        <f>'Notes - Feb12'!B18</f>
        <v>174595</v>
      </c>
      <c r="BF3" s="382">
        <f>'Notes - Mar12'!B18</f>
        <v>174134</v>
      </c>
      <c r="BG3" s="382">
        <f>'Notes - Apr12'!B18</f>
        <v>171262</v>
      </c>
      <c r="BH3" s="382">
        <f>'Notes - May12'!B18</f>
        <v>184480</v>
      </c>
      <c r="BI3" s="382">
        <f>'Notes - Jun12'!B18</f>
        <v>198183.52000000002</v>
      </c>
      <c r="BJ3" s="382">
        <f>'Notes - Jul12'!B18</f>
        <v>191959.91</v>
      </c>
      <c r="BK3" s="382">
        <f>'Notes - Aug12'!B18</f>
        <v>197281.47999999998</v>
      </c>
      <c r="BL3" s="382">
        <f>'Notes - Sep12'!B18</f>
        <v>196353.04</v>
      </c>
      <c r="BM3" s="382">
        <f>'Notes - Oct12'!B18</f>
        <v>185607.7</v>
      </c>
      <c r="BN3" s="382">
        <f>'Notes - Nov12'!B18</f>
        <v>201843.77000000002</v>
      </c>
      <c r="BO3" s="382">
        <f>'Notes - Dec12'!B18</f>
        <v>186464.37</v>
      </c>
      <c r="BP3" s="382">
        <f>'Notes - Jan13'!B18</f>
        <v>190178.05</v>
      </c>
      <c r="BQ3" s="382">
        <f>'Notes - Feb13'!B18</f>
        <v>204203.93000000002</v>
      </c>
      <c r="BR3" s="382">
        <f>'Notes - Mar13'!B18</f>
        <v>195320.37</v>
      </c>
      <c r="BS3" s="382">
        <f>'Notes - Apr13'!B18</f>
        <v>183984.77</v>
      </c>
      <c r="BT3" s="382">
        <f>'Notes - May13'!B18</f>
        <v>196480.6</v>
      </c>
      <c r="BU3" s="382">
        <f>'Notes - Jun13'!B18</f>
        <v>211938.84999999998</v>
      </c>
      <c r="BV3" s="382">
        <f>'Notes - Jul 13'!B17</f>
        <v>196627.63</v>
      </c>
      <c r="BW3" s="382">
        <f>'Notes - Aug13'!B17</f>
        <v>200046.22999999998</v>
      </c>
      <c r="BX3" s="382">
        <f>'Notes - Sep13'!B17</f>
        <v>197968.85</v>
      </c>
      <c r="BY3" s="382">
        <f>'Notes - Oct13'!B17</f>
        <v>169334.56</v>
      </c>
      <c r="BZ3" s="382">
        <f>'Notes - Nov13'!B17</f>
        <v>173041.99</v>
      </c>
      <c r="CA3" s="382">
        <f>'Notes - Dec13'!B17</f>
        <v>168106.72999999998</v>
      </c>
      <c r="CB3" s="382">
        <f>'Notes - Jan14'!B17</f>
        <v>147036.14000000001</v>
      </c>
      <c r="CC3" s="382">
        <f>'Notes - Feb14'!B17</f>
        <v>166961.91999999998</v>
      </c>
      <c r="CD3" s="382">
        <f>'Notes - Mar14'!B18</f>
        <v>166535.03</v>
      </c>
      <c r="CE3" s="382">
        <f>'Notes - Apr14'!B18</f>
        <v>158913.78</v>
      </c>
      <c r="CF3" s="382">
        <f>'Notes - May14'!B18</f>
        <v>176435.04</v>
      </c>
      <c r="CG3" s="382">
        <f>'Notes - Jun14'!B18</f>
        <v>191192.32000000001</v>
      </c>
      <c r="CH3" s="382">
        <f>'Notes - Jul14'!B18</f>
        <v>158152.58000000002</v>
      </c>
      <c r="CI3" s="382">
        <f>'Notes - Aug14'!B18</f>
        <v>148459.34</v>
      </c>
      <c r="CJ3" s="382">
        <f>'Notes - Sep14'!B18</f>
        <v>142545.82</v>
      </c>
      <c r="CK3" s="382">
        <f>'Notes - Oct14'!B18</f>
        <v>127403.58</v>
      </c>
      <c r="CL3" s="382">
        <f>'Notes - Nov14'!B18</f>
        <v>132859.09</v>
      </c>
      <c r="CM3" s="382">
        <f>'Notes - Dec14'!B18</f>
        <v>129863.20999999999</v>
      </c>
      <c r="CN3" s="382">
        <f>'Notes - Jan15'!B18</f>
        <v>123586.96</v>
      </c>
      <c r="CO3" s="382">
        <f>'Notes - Feb15'!B18</f>
        <v>136200.91</v>
      </c>
      <c r="CP3" s="382">
        <f>'Notes - Mar15'!B18</f>
        <v>135828.15</v>
      </c>
      <c r="CQ3" s="382">
        <f>'Notes - Apr15'!B18</f>
        <v>132015.53</v>
      </c>
      <c r="CR3" s="382">
        <f>'Notes - May15'!B18</f>
        <v>150780.53999999998</v>
      </c>
      <c r="CS3" s="382">
        <f>'Notes - Jun15'!B18</f>
        <v>155291.18</v>
      </c>
      <c r="CT3" s="382">
        <f>'Notes - Jul15'!B18</f>
        <v>125195.23</v>
      </c>
      <c r="CU3" s="382">
        <f>'Notes - Aug15'!B18</f>
        <v>114090.41</v>
      </c>
      <c r="CV3" s="382">
        <f>'Notes - Sep15'!B18</f>
        <v>109982.85</v>
      </c>
      <c r="CW3" s="382">
        <f>'Notes - Oct15'!B18</f>
        <v>104584.23000000001</v>
      </c>
      <c r="CX3" s="382">
        <f>'Notes - Nov15'!B18</f>
        <v>113920.17</v>
      </c>
      <c r="CY3" s="382">
        <f>'Notes - Dec15'!B18</f>
        <v>115089.02</v>
      </c>
      <c r="CZ3" s="382">
        <f>'Notes - Jan16'!B18</f>
        <v>112806.26000000001</v>
      </c>
      <c r="DA3" s="382">
        <f>'Notes - Feb16'!B15</f>
        <v>122713.54000000001</v>
      </c>
      <c r="DB3" s="382">
        <f>'Notes - Mar16'!B15</f>
        <v>122306.98000000001</v>
      </c>
      <c r="DC3" s="382">
        <f>'Notes - Apr16'!B15</f>
        <v>121708.41</v>
      </c>
      <c r="DD3" s="382">
        <f>'Notes - May16'!B15</f>
        <v>158450.41</v>
      </c>
      <c r="DE3" s="382">
        <f>'Notes - Jun16'!B15</f>
        <v>148989.93</v>
      </c>
      <c r="DF3" s="382">
        <f>'Notes - Jul16'!B15</f>
        <v>126608.68</v>
      </c>
      <c r="DG3" s="382">
        <f>'Notes - Aug16'!B15</f>
        <v>121021.08</v>
      </c>
      <c r="DH3" s="382">
        <f>'Notes - Sep16'!B15</f>
        <v>99281.279999999999</v>
      </c>
      <c r="DI3" s="382">
        <f>'Notes - Oct16'!B15</f>
        <v>99091.66</v>
      </c>
      <c r="DJ3" s="382">
        <f>'Notes - Nov16'!B15</f>
        <v>114444.37</v>
      </c>
      <c r="DK3" s="382">
        <f>'Notes - Dec16'!B15</f>
        <v>106682.79</v>
      </c>
      <c r="DL3" s="382">
        <f>'Notes - Jan17'!B15</f>
        <v>118185.42000000001</v>
      </c>
      <c r="DM3" s="382">
        <f>'Notes - Feb17 '!B15</f>
        <v>127138.87</v>
      </c>
      <c r="DN3" s="382">
        <f>'Notes - Mar17'!B15</f>
        <v>115811.89</v>
      </c>
      <c r="DO3" s="382">
        <f>'Notes - April17'!B15</f>
        <v>116268.51999999999</v>
      </c>
      <c r="DP3" s="382">
        <f>'Notes - May17'!B15</f>
        <v>146610.35</v>
      </c>
      <c r="DQ3" s="382">
        <f>'Notes - June17'!B15</f>
        <v>135645.57999999999</v>
      </c>
      <c r="DR3" s="382">
        <f>'Notes - July17'!B15</f>
        <v>112516.81</v>
      </c>
      <c r="DS3" s="382">
        <f>'Notes - Aug17'!B15</f>
        <v>115564.66</v>
      </c>
      <c r="DT3" s="382">
        <f>'Notes - Sept17'!B15</f>
        <v>101381.15</v>
      </c>
      <c r="DU3" s="382">
        <f>'Notes - Oct17'!B15</f>
        <v>88809.16</v>
      </c>
      <c r="DV3" s="382">
        <f>'Notes - Nov17'!B15</f>
        <v>102228.45</v>
      </c>
      <c r="DW3" s="382">
        <f>'Notes - Dec17'!B15</f>
        <v>104842.98000000001</v>
      </c>
      <c r="DX3" s="382">
        <f>'Notes - Jan18'!B15</f>
        <v>104215.65</v>
      </c>
      <c r="DY3" s="382">
        <f>'Notes - Feb18'!B15</f>
        <v>123859.73999999999</v>
      </c>
      <c r="DZ3" s="382">
        <f>'Notes - Mar18'!B15</f>
        <v>125052.42</v>
      </c>
      <c r="EA3" s="382">
        <f>'Notes - Apr18'!B15</f>
        <v>114880.75</v>
      </c>
      <c r="EB3" s="382">
        <f>'Notes - May18'!B15</f>
        <v>136279.26999999999</v>
      </c>
      <c r="EC3" s="382">
        <f>'Notes - Jun18'!B15</f>
        <v>135102.66</v>
      </c>
      <c r="ED3" s="382">
        <f>'Notes - Jul18'!B15</f>
        <v>120979.84</v>
      </c>
      <c r="EE3" s="382">
        <f>'Notes - Aug18'!B15</f>
        <v>129205.16</v>
      </c>
      <c r="EF3" s="382">
        <f>'Notes - Sept18'!B15</f>
        <v>124145.37</v>
      </c>
      <c r="EG3" s="382">
        <f>'Notes - Oct18'!B15</f>
        <v>114031.72</v>
      </c>
      <c r="EH3" s="382">
        <f>'Notes - Nov18'!B15</f>
        <v>106942.87</v>
      </c>
      <c r="EI3" s="382">
        <f>'Notes - Dec18'!B15</f>
        <v>121559.81</v>
      </c>
      <c r="EJ3" s="382">
        <f>'Notes - Jan19'!B15</f>
        <v>99152.16</v>
      </c>
      <c r="EK3" s="382">
        <f>'Notes - Feb19'!B15</f>
        <v>104086.7</v>
      </c>
      <c r="EL3" s="382">
        <f>'Notes - Mar19'!B15</f>
        <v>105958.09999999999</v>
      </c>
      <c r="EM3" s="382">
        <f>'Notes - Apr19'!B15</f>
        <v>87822.950000000012</v>
      </c>
      <c r="EN3" s="382">
        <f>'Notes - May19'!B15</f>
        <v>102269.04</v>
      </c>
      <c r="EO3" s="382">
        <f>'Notes - Jun19'!B15</f>
        <v>109721.02</v>
      </c>
      <c r="EP3" s="382">
        <f>'Notes - Jul19'!B15</f>
        <v>100699.31</v>
      </c>
      <c r="EQ3" s="382">
        <f>'Notes - Aug19'!B15</f>
        <v>110436</v>
      </c>
      <c r="ER3" s="382">
        <f>'Notes - Sep19'!B15</f>
        <v>110238.79999999999</v>
      </c>
      <c r="ES3" s="382">
        <f>'Notes - Oct19'!B15</f>
        <v>101153.64</v>
      </c>
      <c r="ET3" s="382">
        <f>'Notes - Nov19'!B15</f>
        <v>108365.03</v>
      </c>
      <c r="EU3" s="382">
        <f>'Notes - Dec19'!B15</f>
        <v>109052.92000000001</v>
      </c>
      <c r="EV3" s="382">
        <f>'Notes - Jan20'!B15</f>
        <v>101615.44</v>
      </c>
      <c r="EW3" s="382">
        <f>'Notes - Feb20'!B15</f>
        <v>110914.12</v>
      </c>
      <c r="EX3" s="382">
        <f>'Notes - Mar20'!B15</f>
        <v>111880.20999999999</v>
      </c>
      <c r="EY3" s="382">
        <f>'Notes - Apr20'!B15</f>
        <v>108761</v>
      </c>
      <c r="EZ3" s="382">
        <f>'Notes - May20'!B15</f>
        <v>116585.17</v>
      </c>
      <c r="FA3" s="382">
        <f>'Notes - Jun20'!B15</f>
        <v>113448.96000000001</v>
      </c>
      <c r="FB3" s="382">
        <f>'Notes - Jul20'!B15</f>
        <v>95158.84</v>
      </c>
      <c r="FC3" s="382">
        <f>'Notes - Aug20'!B15</f>
        <v>111165.63</v>
      </c>
      <c r="FD3" s="382">
        <f>'Notes - Sep20'!B15</f>
        <v>114980.67</v>
      </c>
      <c r="FE3" s="382">
        <f>'Notes - Oct20'!B15</f>
        <v>112410.48000000001</v>
      </c>
      <c r="FF3" s="382">
        <f>'Notes - Nov20'!B15</f>
        <v>126440.02</v>
      </c>
      <c r="FG3" s="382">
        <f>'Notes - Dec20'!B15</f>
        <v>123708.85999999999</v>
      </c>
      <c r="FH3" s="382">
        <f>'Notes - Jan21'!B15</f>
        <v>129252.98000000001</v>
      </c>
      <c r="FI3" s="382">
        <f>'Notes - Feb21'!B15</f>
        <v>131644.93</v>
      </c>
      <c r="FJ3" s="382">
        <f>'Notes - Mar21'!B15</f>
        <v>128481.23000000001</v>
      </c>
      <c r="FK3" s="382">
        <f>'Notes - Apr21'!B15</f>
        <v>131805.20000000001</v>
      </c>
      <c r="FL3" s="382">
        <f>'Notes - May21'!B15</f>
        <v>152261.71</v>
      </c>
      <c r="FM3" s="382">
        <f>'Notes - Jun21'!B15</f>
        <v>149888.74</v>
      </c>
      <c r="FN3" s="382">
        <f>'Notes - Jul21'!B15</f>
        <v>153131.15</v>
      </c>
      <c r="FO3" s="382">
        <f>'Notes - Aug21'!B15</f>
        <v>167758.88</v>
      </c>
      <c r="FP3" s="382">
        <f>'Notes - Sept21'!B15</f>
        <v>161148.46000000002</v>
      </c>
      <c r="FQ3" s="382">
        <f>'Notes - Oct21'!B15</f>
        <v>160423.46000000002</v>
      </c>
      <c r="FR3" s="382">
        <f>'Notes - Nov21'!B15</f>
        <v>170180.52000000002</v>
      </c>
      <c r="FS3" s="382">
        <f>'Notes - Dec21'!B15</f>
        <v>179621.43</v>
      </c>
      <c r="FT3" s="382">
        <f>'Notes - Jan22'!B15</f>
        <v>172115.4</v>
      </c>
      <c r="FU3" s="382">
        <f>'Notes - Feb22'!B15</f>
        <v>192124.24000000002</v>
      </c>
      <c r="FV3" s="382">
        <f>'Notes - March22'!B15</f>
        <v>185023.77999999997</v>
      </c>
      <c r="FW3" s="382">
        <f>'Notes - April22'!B15</f>
        <v>170567.82</v>
      </c>
      <c r="FX3" s="382">
        <f>'Notes - May22'!B15</f>
        <v>177628.65</v>
      </c>
      <c r="FY3" s="382">
        <f>'Notes - June22'!B15</f>
        <v>174507.94</v>
      </c>
      <c r="FZ3" s="382">
        <f>'Notes - July22'!B15</f>
        <v>163948.04</v>
      </c>
      <c r="GA3" s="382">
        <f>'Notes - AUG22'!B15</f>
        <v>159005.09999999998</v>
      </c>
      <c r="GB3" s="382">
        <f>'Notes - Sep22'!B15</f>
        <v>140549.54999999999</v>
      </c>
      <c r="GC3" s="382">
        <f>'Notes - Oct22'!B15</f>
        <v>130140.34999999999</v>
      </c>
      <c r="GD3" s="382">
        <f>'Notes - Nov22'!B15</f>
        <v>138298.34</v>
      </c>
      <c r="GE3" s="382">
        <f>'Notes - Dec22'!B15</f>
        <v>129222.94</v>
      </c>
      <c r="GF3" s="382">
        <f>'Notes - Jan23'!B15</f>
        <v>127682.16</v>
      </c>
      <c r="GG3" s="382">
        <f>'Notes - Feb23'!B15</f>
        <v>141264.4</v>
      </c>
      <c r="GH3" s="382">
        <f>'Notes - Mar23'!B15</f>
        <v>130935.79</v>
      </c>
      <c r="GI3" s="382">
        <f>'Notes - Apr23'!B15</f>
        <v>121257.70999999999</v>
      </c>
      <c r="GJ3" s="382">
        <f>'Notes - May23'!B15</f>
        <v>136119.69</v>
      </c>
      <c r="GK3" s="382">
        <f>'Notes - Jun23'!B15</f>
        <v>133480.26</v>
      </c>
      <c r="GL3" s="382">
        <f>'Notes - Jul23'!B15</f>
        <v>126834.1</v>
      </c>
      <c r="GM3" s="382">
        <f>'Notes - Aug23'!B15</f>
        <v>132755.62</v>
      </c>
      <c r="GN3" s="382">
        <f>'Notes - Sep23'!B15</f>
        <v>130548.7</v>
      </c>
      <c r="GO3" s="382">
        <f>'Notes - Oct23'!B15</f>
        <v>127011.45999999999</v>
      </c>
      <c r="GP3" s="382">
        <f>'Notes - Nov23'!B15</f>
        <v>128774.26</v>
      </c>
      <c r="GQ3" s="382">
        <f>'Notes - Dec23'!B15</f>
        <v>125075.40000000001</v>
      </c>
      <c r="GR3" s="382">
        <f>'Notes - Jan24'!B15</f>
        <v>124392.76</v>
      </c>
      <c r="GS3" s="382">
        <f>'Notes - Feb24'!B15</f>
        <v>132416.64000000001</v>
      </c>
      <c r="GT3" s="382">
        <f>'Notes - Mar24'!B15</f>
        <v>134925.16999999998</v>
      </c>
      <c r="GU3" s="382">
        <f>'Notes - Apr24'!B15</f>
        <v>126636.48000000001</v>
      </c>
      <c r="GV3" s="382">
        <f>'Notes - May24'!B15</f>
        <v>137272.69</v>
      </c>
      <c r="GW3" s="382">
        <f>'Notes - Jun24'!B15</f>
        <v>145664.13</v>
      </c>
      <c r="GX3" s="382">
        <f>'Notes - Jul24'!B15</f>
        <v>132051.78</v>
      </c>
      <c r="GY3" s="382">
        <f>'Notes - Aug24'!B15</f>
        <v>146088.12</v>
      </c>
      <c r="GZ3" s="382">
        <f>'Notes - Sep24'!B15</f>
        <v>156043.26</v>
      </c>
      <c r="HA3" s="382">
        <f>'Notes - Oct24'!B15</f>
        <v>129331.75</v>
      </c>
      <c r="HB3" s="382">
        <f>'Notes - Nov24'!B15</f>
        <v>139765.25</v>
      </c>
      <c r="HC3" s="382">
        <f>'Notes - Dec24'!B15</f>
        <v>142015.53</v>
      </c>
      <c r="HD3" s="382">
        <f>'Notes - Jan25'!B15</f>
        <v>129244.32999999999</v>
      </c>
      <c r="HE3" s="382">
        <f>'Notes - Feb25'!B15</f>
        <v>132940.53</v>
      </c>
      <c r="HF3" s="382">
        <f>'Notes - Mar25'!B15</f>
        <v>130069.47</v>
      </c>
      <c r="HG3" s="382">
        <f>'Notes - Apr25'!B15</f>
        <v>121851.14</v>
      </c>
      <c r="HH3" s="382">
        <f>'Notes - May25'!B15</f>
        <v>136692.71</v>
      </c>
      <c r="HI3" s="382">
        <f>'Notes - Jun25'!B15</f>
        <v>139838.78999999998</v>
      </c>
      <c r="HJ3" s="382"/>
      <c r="HK3" s="382"/>
      <c r="HL3" s="382"/>
      <c r="HM3" s="382"/>
      <c r="HN3" s="382"/>
      <c r="HO3" s="382"/>
      <c r="HP3" s="382"/>
      <c r="HQ3" s="382"/>
      <c r="HR3" s="382"/>
      <c r="HS3" s="382"/>
      <c r="HT3" s="382"/>
      <c r="HU3" s="382"/>
      <c r="HW3" s="486" t="s">
        <v>388</v>
      </c>
      <c r="HX3" s="487"/>
      <c r="HY3" s="487"/>
      <c r="HZ3" s="487"/>
      <c r="IA3" s="487"/>
      <c r="IB3" s="488"/>
      <c r="ID3" s="383" t="s">
        <v>32</v>
      </c>
      <c r="IE3" s="383" t="s">
        <v>343</v>
      </c>
      <c r="IF3" s="383" t="s">
        <v>34</v>
      </c>
      <c r="IG3" s="383" t="s">
        <v>35</v>
      </c>
      <c r="IH3" s="383" t="s">
        <v>103</v>
      </c>
    </row>
    <row r="4" spans="1:242" ht="15" customHeight="1" x14ac:dyDescent="0.25">
      <c r="A4" s="361" t="s">
        <v>2</v>
      </c>
      <c r="B4" s="381">
        <v>285178</v>
      </c>
      <c r="C4" s="381">
        <v>236652</v>
      </c>
      <c r="D4" s="381">
        <v>200876</v>
      </c>
      <c r="E4" s="381">
        <v>211771</v>
      </c>
      <c r="F4" s="381">
        <v>207857</v>
      </c>
      <c r="G4" s="381">
        <v>268842</v>
      </c>
      <c r="H4" s="381">
        <v>239058</v>
      </c>
      <c r="I4" s="381">
        <v>232706</v>
      </c>
      <c r="J4" s="381">
        <v>218038</v>
      </c>
      <c r="K4" s="381">
        <v>204467</v>
      </c>
      <c r="L4" s="381">
        <v>203469</v>
      </c>
      <c r="M4" s="381">
        <v>55583</v>
      </c>
      <c r="N4" s="381">
        <v>40180</v>
      </c>
      <c r="O4" s="381">
        <v>39734</v>
      </c>
      <c r="P4" s="381">
        <v>30935</v>
      </c>
      <c r="Q4" s="381">
        <v>56820</v>
      </c>
      <c r="R4" s="381">
        <v>40535</v>
      </c>
      <c r="S4" s="381">
        <v>43247</v>
      </c>
      <c r="T4" s="381">
        <v>65171</v>
      </c>
      <c r="U4" s="381">
        <v>222336</v>
      </c>
      <c r="V4" s="381">
        <v>59326</v>
      </c>
      <c r="W4" s="381">
        <v>100011</v>
      </c>
      <c r="X4" s="381">
        <v>110696</v>
      </c>
      <c r="Y4" s="381">
        <v>39706</v>
      </c>
      <c r="Z4" s="381">
        <v>41379</v>
      </c>
      <c r="AA4" s="381">
        <v>33720</v>
      </c>
      <c r="AB4" s="381">
        <v>21376</v>
      </c>
      <c r="AC4" s="381">
        <v>54668</v>
      </c>
      <c r="AD4" s="381">
        <v>25906</v>
      </c>
      <c r="AE4" s="381">
        <v>52778</v>
      </c>
      <c r="AF4" s="382">
        <v>57282</v>
      </c>
      <c r="AG4" s="382">
        <v>53767</v>
      </c>
      <c r="AH4" s="382">
        <v>37959</v>
      </c>
      <c r="AI4" s="384">
        <v>30208</v>
      </c>
      <c r="AJ4" s="382">
        <v>29820.77</v>
      </c>
      <c r="AK4" s="384">
        <v>31648</v>
      </c>
      <c r="AL4" s="382">
        <f>'Notes - Jul10'!K4</f>
        <v>44732</v>
      </c>
      <c r="AM4" s="382">
        <f>'Notes - Aug10'!K4</f>
        <v>86206</v>
      </c>
      <c r="AN4" s="382">
        <f>'Notes - Sept10'!J4</f>
        <v>69159</v>
      </c>
      <c r="AO4" s="382">
        <f>'Notes - Oct 10'!J5</f>
        <v>63388</v>
      </c>
      <c r="AP4" s="376">
        <f>'Notes - Nov 10'!J5</f>
        <v>41740</v>
      </c>
      <c r="AQ4" s="382">
        <f>'Notes - Dec 10'!J4</f>
        <v>52788</v>
      </c>
      <c r="AR4" s="382">
        <f>'Notes - Jan 11'!J4</f>
        <v>50273</v>
      </c>
      <c r="AS4" s="376">
        <f>'Notes - Feb 11'!J4</f>
        <v>36562</v>
      </c>
      <c r="AT4" s="382">
        <f>'Notes - Mar 11'!J4</f>
        <v>27751</v>
      </c>
      <c r="AU4" s="382">
        <f>'Notes - Apr 11'!I4</f>
        <v>24898.33</v>
      </c>
      <c r="AV4" s="382">
        <f>'Notes - May 11'!I4</f>
        <v>65884.44</v>
      </c>
      <c r="AW4" s="382">
        <f>'Notes - Jun 11'!I4</f>
        <v>47541.37999999999</v>
      </c>
      <c r="AX4" s="382">
        <f>'Notes - Jul 11'!B19</f>
        <v>36925.39</v>
      </c>
      <c r="AY4" s="382">
        <f>'Notes - Aug 11'!B19</f>
        <v>42118.850000000006</v>
      </c>
      <c r="AZ4" s="382">
        <f>'Notes - Sep11'!B19</f>
        <v>52358.12</v>
      </c>
      <c r="BA4" s="382">
        <f>'Notes - Oct11'!B19</f>
        <v>30880.829999999998</v>
      </c>
      <c r="BB4" s="382">
        <f>'Notes - Nov11'!B19</f>
        <v>61993.219999999994</v>
      </c>
      <c r="BC4" s="382">
        <f>'Notes - Dec11'!B19</f>
        <v>65633.640000000029</v>
      </c>
      <c r="BD4" s="382">
        <f>'Notes - Jan12'!B19</f>
        <v>25294.339999999997</v>
      </c>
      <c r="BE4" s="382">
        <f>'Notes - Feb12'!B19</f>
        <v>39291.720000000016</v>
      </c>
      <c r="BF4" s="382">
        <f>'Notes - Mar12'!B19</f>
        <v>17420.340000000015</v>
      </c>
      <c r="BG4" s="382">
        <f>'Notes - Apr12'!B19</f>
        <v>17420.340000000015</v>
      </c>
      <c r="BH4" s="382">
        <f>'Notes - May12'!B19</f>
        <v>6085</v>
      </c>
      <c r="BI4" s="382">
        <f>'Notes - Jun12'!B19</f>
        <v>18900.810000000001</v>
      </c>
      <c r="BJ4" s="382">
        <f>'Notes - Jul12'!B19</f>
        <v>15933.54</v>
      </c>
      <c r="BK4" s="382">
        <f>'Notes - Aug12'!B19</f>
        <v>7315.16</v>
      </c>
      <c r="BL4" s="382">
        <f>'Notes - Sep12'!B19</f>
        <v>17409.11</v>
      </c>
      <c r="BM4" s="382">
        <f>'Notes - Oct12'!B19</f>
        <v>8003.73</v>
      </c>
      <c r="BN4" s="382">
        <f>'Notes - Nov12'!B19</f>
        <v>8002.91</v>
      </c>
      <c r="BO4" s="382">
        <f>'Notes - Dec12'!B19</f>
        <v>22664.080000000002</v>
      </c>
      <c r="BP4" s="382">
        <f>'Notes - Jan13'!B19</f>
        <v>2755.44</v>
      </c>
      <c r="BQ4" s="382">
        <f>'Notes - Feb13'!B19</f>
        <v>2972.9300000000003</v>
      </c>
      <c r="BR4" s="382">
        <f>'Notes - Mar13'!B19</f>
        <v>8820.75</v>
      </c>
      <c r="BS4" s="382">
        <f>'Notes - Apr13'!B19</f>
        <v>15080.61</v>
      </c>
      <c r="BT4" s="382">
        <f>'Notes - May13'!B19</f>
        <v>18.25</v>
      </c>
      <c r="BU4" s="382">
        <f>'Notes - Jun13'!B19</f>
        <v>19.329999999999998</v>
      </c>
      <c r="BV4" s="382">
        <f>'Notes - Jul 13'!B18</f>
        <v>16.829999999999998</v>
      </c>
      <c r="BW4" s="382">
        <f>'Notes - Aug13'!B18</f>
        <v>23.11</v>
      </c>
      <c r="BX4" s="382">
        <f>'Notes - Sep13'!B18</f>
        <v>43.949999999999996</v>
      </c>
      <c r="BY4" s="382">
        <f>'Notes - Oct13'!B18</f>
        <v>627.93000000000006</v>
      </c>
      <c r="BZ4" s="382">
        <f>'Notes - Nov13'!B18</f>
        <v>3017.69</v>
      </c>
      <c r="CA4" s="382">
        <f>'Notes - Dec13'!B18</f>
        <v>3235.6499999999996</v>
      </c>
      <c r="CB4" s="382">
        <f>'Notes - Jan14'!B18</f>
        <v>3458.6600000000003</v>
      </c>
      <c r="CC4" s="382">
        <f>'Notes - Feb14'!B18</f>
        <v>6928.9600000000128</v>
      </c>
      <c r="CD4" s="382">
        <f>'Notes - Mar14'!B19</f>
        <v>47313.380000000005</v>
      </c>
      <c r="CE4" s="382">
        <f>'Notes - Apr14'!B19</f>
        <v>49917.98</v>
      </c>
      <c r="CF4" s="382">
        <f>'Notes - May14'!B19</f>
        <v>47276.520000000011</v>
      </c>
      <c r="CG4" s="382">
        <f>'Notes - Jun14'!B19</f>
        <v>3318.88</v>
      </c>
      <c r="CH4" s="382">
        <f>'Notes - Jul14'!B19</f>
        <v>1224.5899999999999</v>
      </c>
      <c r="CI4" s="382">
        <f>'Notes - Aug14'!B19</f>
        <v>207.76000000000002</v>
      </c>
      <c r="CJ4" s="382">
        <f>'Notes - Sep14'!B19</f>
        <v>23454.01</v>
      </c>
      <c r="CK4" s="382">
        <f>'Notes - Oct14'!B19</f>
        <v>981.36</v>
      </c>
      <c r="CL4" s="382">
        <f>'Notes - Nov14'!B19</f>
        <v>1058.79</v>
      </c>
      <c r="CM4" s="382">
        <f>'Notes - Dec14'!B19</f>
        <v>790.99</v>
      </c>
      <c r="CN4" s="382">
        <f>'Notes - Jan15'!B19</f>
        <v>105.07</v>
      </c>
      <c r="CO4" s="382">
        <f>'Notes - Feb15'!B19</f>
        <v>1073.67</v>
      </c>
      <c r="CP4" s="382">
        <f>'Notes - Mar15'!B19</f>
        <v>1047.8500000000008</v>
      </c>
      <c r="CQ4" s="382">
        <f>'Notes - Apr15'!B19</f>
        <v>2057.3200000000002</v>
      </c>
      <c r="CR4" s="382">
        <f>'Notes - May15'!B19</f>
        <v>777.16</v>
      </c>
      <c r="CS4" s="382">
        <f>'Notes - Jun15'!B19</f>
        <v>3453.24</v>
      </c>
      <c r="CT4" s="382">
        <f>'Notes - Jul15'!B19</f>
        <v>1673.1200000000001</v>
      </c>
      <c r="CU4" s="382">
        <f>'Notes - Aug15'!B19</f>
        <v>26454.769999999997</v>
      </c>
      <c r="CV4" s="382">
        <f>'Notes - Sep15'!B19</f>
        <v>9025.9500000000007</v>
      </c>
      <c r="CW4" s="382">
        <f>'Notes - Oct15'!B19</f>
        <v>9035.0499999999993</v>
      </c>
      <c r="CX4" s="382">
        <f>'Notes - Nov15'!B19</f>
        <v>18310.04</v>
      </c>
      <c r="CY4" s="382">
        <f>'Notes - Dec15'!B19</f>
        <v>16378.98</v>
      </c>
      <c r="CZ4" s="382">
        <f>'Notes - Jan16'!B19</f>
        <v>15304.82</v>
      </c>
      <c r="DA4" s="382">
        <f>'Notes - Feb16'!B16</f>
        <v>5393.8899999999994</v>
      </c>
      <c r="DB4" s="382">
        <f>'Notes - Mar16'!B16</f>
        <v>887.65000000000009</v>
      </c>
      <c r="DC4" s="382">
        <f>'Notes - Apr16'!B16</f>
        <v>7824.68</v>
      </c>
      <c r="DD4" s="382">
        <f>'Notes - May16'!B16</f>
        <v>17834.190000000002</v>
      </c>
      <c r="DE4" s="382">
        <f>'Notes - Jun16'!B16</f>
        <v>17894.28</v>
      </c>
      <c r="DF4" s="382">
        <f>'Notes - Jul16'!B16</f>
        <v>104.23</v>
      </c>
      <c r="DG4" s="382">
        <f>'Notes - Aug16'!B16</f>
        <v>96.98</v>
      </c>
      <c r="DH4" s="382">
        <f>'Notes - Sep16'!B16</f>
        <v>110.5</v>
      </c>
      <c r="DI4" s="382">
        <f>'Notes - Oct16'!B16</f>
        <v>152.73000000000002</v>
      </c>
      <c r="DJ4" s="382">
        <f>'Notes - Nov16'!B16</f>
        <v>393.39</v>
      </c>
      <c r="DK4" s="382">
        <f>'Notes - Dec16'!B16</f>
        <v>69106.53</v>
      </c>
      <c r="DL4" s="382">
        <f>'Notes - Jan17'!B16</f>
        <v>11.45</v>
      </c>
      <c r="DM4" s="382">
        <f>'Notes - Feb17 '!B16</f>
        <v>9902.86</v>
      </c>
      <c r="DN4" s="382">
        <f>'Notes - Mar17'!B16</f>
        <v>191.98000000000002</v>
      </c>
      <c r="DO4" s="382">
        <f>'Notes - April17'!B16</f>
        <v>2798.9</v>
      </c>
      <c r="DP4" s="382">
        <f>'Notes - May17'!B16</f>
        <v>1703.51</v>
      </c>
      <c r="DQ4" s="382">
        <f>'Notes - June17'!B16</f>
        <v>1856.6799999999998</v>
      </c>
      <c r="DR4" s="382">
        <f>'Notes - July17'!B16</f>
        <v>2404.37</v>
      </c>
      <c r="DS4" s="382">
        <f>'Notes - Aug17'!B16</f>
        <v>1607.44</v>
      </c>
      <c r="DT4" s="382">
        <f>'Notes - Sept17'!B16</f>
        <v>3887.84</v>
      </c>
      <c r="DU4" s="382">
        <f>'Notes - Oct17'!B16</f>
        <v>2299.13</v>
      </c>
      <c r="DV4" s="382">
        <f>'Notes - Nov17'!B16</f>
        <v>2385.16</v>
      </c>
      <c r="DW4" s="382">
        <f>'Notes - Dec17'!B16</f>
        <v>2205.9299999999998</v>
      </c>
      <c r="DX4" s="382">
        <f>'Notes - Jan18'!B16</f>
        <v>962.09999999999991</v>
      </c>
      <c r="DY4" s="382">
        <f>'Notes - Feb18'!B16</f>
        <v>100564.25</v>
      </c>
      <c r="DZ4" s="382">
        <f>'Notes - Mar18'!B16</f>
        <v>106214.81999999999</v>
      </c>
      <c r="EA4" s="382">
        <f>'Notes - Apr18'!B16</f>
        <v>2137.84</v>
      </c>
      <c r="EB4" s="382">
        <f>'Notes - May18'!B16</f>
        <v>0</v>
      </c>
      <c r="EC4" s="382">
        <f>'Notes - Jun18'!B16</f>
        <v>3675.7</v>
      </c>
      <c r="ED4" s="382">
        <f>'Notes - Jul18'!B16</f>
        <v>26687.929999999935</v>
      </c>
      <c r="EE4" s="382">
        <f>'Notes - Aug18'!B16</f>
        <v>34916.629999999983</v>
      </c>
      <c r="EF4" s="382">
        <f>'Notes - Sept18'!B16</f>
        <v>41289.130000000048</v>
      </c>
      <c r="EG4" s="382">
        <f>'Notes - Oct18'!B16</f>
        <v>24419.279999999999</v>
      </c>
      <c r="EH4" s="382">
        <f>'Notes - Nov18'!B16</f>
        <v>4505.01</v>
      </c>
      <c r="EI4" s="382">
        <f>'Notes - Dec18'!B16</f>
        <v>4470.1100000000006</v>
      </c>
      <c r="EJ4" s="382">
        <f>'Notes - Jan19'!B16</f>
        <v>6418.1500000000005</v>
      </c>
      <c r="EK4" s="382">
        <f>'Notes - Feb19'!B16</f>
        <v>6093.04</v>
      </c>
      <c r="EL4" s="382">
        <f>'Notes - Mar19'!B16</f>
        <v>7538.25</v>
      </c>
      <c r="EM4" s="382">
        <f>'Notes - Apr19'!B16</f>
        <v>4153.83</v>
      </c>
      <c r="EN4" s="382">
        <f>'Notes - May19'!B16</f>
        <v>7179.9900000000007</v>
      </c>
      <c r="EO4" s="382">
        <f>'Notes - Jun19'!B16</f>
        <v>13089.2</v>
      </c>
      <c r="EP4" s="382">
        <f>'Notes - Jul19'!B16</f>
        <v>11834.22</v>
      </c>
      <c r="EQ4" s="382">
        <f>'Notes - Aug19'!B16</f>
        <v>118461.32</v>
      </c>
      <c r="ER4" s="382">
        <f>'Notes - Sep19'!B16</f>
        <v>126768.46</v>
      </c>
      <c r="ES4" s="382">
        <f>'Notes - Oct19'!B16</f>
        <v>93697.33</v>
      </c>
      <c r="ET4" s="382">
        <f>'Notes - Nov19'!B16</f>
        <v>93811.08</v>
      </c>
      <c r="EU4" s="382">
        <f>'Notes - Dec19'!B16</f>
        <v>108723.04000000001</v>
      </c>
      <c r="EV4" s="382">
        <f>'Notes - Jan20'!B16</f>
        <v>72923.81</v>
      </c>
      <c r="EW4" s="382">
        <f>'Notes - Feb20'!B16</f>
        <v>40452.51</v>
      </c>
      <c r="EX4" s="382">
        <f>'Notes - Mar20'!B16</f>
        <v>41177.660000000003</v>
      </c>
      <c r="EY4" s="382">
        <f>'Notes - Apr20'!B16</f>
        <v>51016.210000000006</v>
      </c>
      <c r="EZ4" s="382">
        <f>'Notes - May20'!B16</f>
        <v>56614.490000000005</v>
      </c>
      <c r="FA4" s="382">
        <f>'Notes - Jun20'!B16</f>
        <v>44973.29</v>
      </c>
      <c r="FB4" s="382">
        <f>'Notes - Jul20'!B16</f>
        <v>48493.729999999996</v>
      </c>
      <c r="FC4" s="382">
        <f>'Notes - Aug20'!B16</f>
        <v>55352.57</v>
      </c>
      <c r="FD4" s="382">
        <f>'Notes - Sep20'!B16</f>
        <v>20936.45</v>
      </c>
      <c r="FE4" s="382">
        <f>'Notes - Oct20'!B16</f>
        <v>24833.21</v>
      </c>
      <c r="FF4" s="382">
        <f>'Notes - Nov20'!B16</f>
        <v>1619.09</v>
      </c>
      <c r="FG4" s="382">
        <f>'Notes - Dec20'!B16</f>
        <v>176356.72999999998</v>
      </c>
      <c r="FH4" s="382">
        <f>'Notes - Jan21'!B16</f>
        <v>3186.13</v>
      </c>
      <c r="FI4" s="382">
        <f>'Notes - Feb21'!B16</f>
        <v>2557.89</v>
      </c>
      <c r="FJ4" s="382">
        <f>'Notes - Mar21'!B16</f>
        <v>6768.1100000000006</v>
      </c>
      <c r="FK4" s="382">
        <f>'Notes - Apr21'!B16</f>
        <v>6243.98</v>
      </c>
      <c r="FL4" s="382">
        <f>'Notes - May21'!B16</f>
        <v>2304.85</v>
      </c>
      <c r="FM4" s="382">
        <f>'Notes - Jun21'!B16</f>
        <v>290.76</v>
      </c>
      <c r="FN4" s="382">
        <f>'Notes - Jul21'!B16</f>
        <v>318.79000000000002</v>
      </c>
      <c r="FO4" s="382">
        <f>'Notes - Aug21'!B16</f>
        <v>760.59</v>
      </c>
      <c r="FP4" s="382">
        <f>'Notes - Sept21'!B16</f>
        <v>1447.4</v>
      </c>
      <c r="FQ4" s="466">
        <f>'Notes - Oct21'!B16-FQ7</f>
        <v>23787.069999999949</v>
      </c>
      <c r="FR4" s="467">
        <f>'Notes - Nov21'!B16-FQ7</f>
        <v>26228.130000000005</v>
      </c>
      <c r="FS4" s="467">
        <f>'Notes - Dec21'!B16-FQ7</f>
        <v>34937.5</v>
      </c>
      <c r="FT4" s="467">
        <f>'Notes - Jan22'!B16-FQ7</f>
        <v>24331.520000000019</v>
      </c>
      <c r="FU4" s="467">
        <f>'Notes - Feb22'!B16-FQ7</f>
        <v>25339.440000000061</v>
      </c>
      <c r="FV4" s="467">
        <f>'Notes - March22'!B16-FQ7</f>
        <v>25845.239999999991</v>
      </c>
      <c r="FW4" s="467">
        <f>'Notes - April22'!B16-FQ7</f>
        <v>26449.179999999935</v>
      </c>
      <c r="FX4" s="467">
        <f>'Notes - May22'!B16-FQ7</f>
        <v>30475.430000000051</v>
      </c>
      <c r="FY4" s="467">
        <f>'Notes - June22'!B16-FQ7</f>
        <v>21625.199999999953</v>
      </c>
      <c r="FZ4" s="467">
        <f>'Notes - July22'!B16-FQ7</f>
        <v>2427.2199999999721</v>
      </c>
      <c r="GA4" s="467">
        <f>'Notes - AUG22'!B16-FQ7</f>
        <v>5679.9600000000792</v>
      </c>
      <c r="GB4" s="467">
        <f>'Notes - Sep22'!B16-FQ7</f>
        <v>1298.640000000014</v>
      </c>
      <c r="GC4" s="467">
        <f>'Notes - Oct22'!B16-FQ7</f>
        <v>809.61000000010245</v>
      </c>
      <c r="GD4" s="468">
        <f>'Notes - Nov22'!B16-FQ7</f>
        <v>511.36999999999534</v>
      </c>
      <c r="GE4" s="382">
        <f>'Notes - Dec22'!B16</f>
        <v>5164.62</v>
      </c>
      <c r="GF4" s="382">
        <f>'Notes - Jan23'!B16</f>
        <v>4216.34</v>
      </c>
      <c r="GG4" s="382">
        <f>'Notes - Feb23'!B16</f>
        <v>3273.54</v>
      </c>
      <c r="GH4" s="382">
        <f>'Notes - Mar23'!B16</f>
        <v>1019.81</v>
      </c>
      <c r="GI4" s="382">
        <f>'Notes - Apr23'!B16</f>
        <v>3383.9</v>
      </c>
      <c r="GJ4" s="382">
        <f>'Notes - May23'!B16</f>
        <v>2237.2000000000003</v>
      </c>
      <c r="GK4" s="382">
        <f>'Notes - Jun23'!B16</f>
        <v>2178.5</v>
      </c>
      <c r="GL4" s="382">
        <f>'Notes - Jul23'!B16</f>
        <v>3483.0699999999997</v>
      </c>
      <c r="GM4" s="382">
        <f>'Notes - Aug23'!B16</f>
        <v>2600.2800000000002</v>
      </c>
      <c r="GN4" s="382">
        <f>'Notes - Sep23'!B16</f>
        <v>6355.51</v>
      </c>
      <c r="GO4" s="382">
        <f>'Notes - Oct23'!B16</f>
        <v>5401.7699999999995</v>
      </c>
      <c r="GP4" s="382">
        <f>'Notes - Nov23'!B16</f>
        <v>4586.3500000000004</v>
      </c>
      <c r="GQ4" s="382">
        <f>'Notes - Dec23'!B16</f>
        <v>18230.46</v>
      </c>
      <c r="GR4" s="382">
        <f>'Notes - Jan24'!B16</f>
        <v>4984.57</v>
      </c>
      <c r="GS4" s="382">
        <f>'Notes - Feb24'!B16</f>
        <v>38001.29</v>
      </c>
      <c r="GT4" s="382">
        <f>'Notes - Mar24'!B16</f>
        <v>38672.720000000001</v>
      </c>
      <c r="GU4" s="382">
        <f>'Notes - Apr24'!B16</f>
        <v>63826.5</v>
      </c>
      <c r="GV4" s="382">
        <f>'Notes - May24'!B16</f>
        <v>54707.549999999996</v>
      </c>
      <c r="GW4" s="382">
        <f>'Notes - Jun24'!B16</f>
        <v>56012.37</v>
      </c>
      <c r="GX4" s="382">
        <f>'Notes - Jul24'!B16</f>
        <v>56530.590000000004</v>
      </c>
      <c r="GY4" s="382">
        <f>'Notes - Aug24'!B16</f>
        <v>10233.31</v>
      </c>
      <c r="GZ4" s="382">
        <f>'Notes - Sep24'!B16</f>
        <v>10410.34</v>
      </c>
      <c r="HA4" s="382">
        <f>'Notes - Oct24'!B16</f>
        <v>14737.37</v>
      </c>
      <c r="HB4" s="382">
        <f>'Notes - Nov24'!B16</f>
        <v>10421.4</v>
      </c>
      <c r="HC4" s="382">
        <f>'Notes - Dec24'!B16</f>
        <v>10436.209999999999</v>
      </c>
      <c r="HD4" s="382">
        <f>'Notes - Jan25'!B16</f>
        <v>9021.85</v>
      </c>
      <c r="HE4" s="382">
        <f>'Notes - Feb25'!B16</f>
        <v>11818.65</v>
      </c>
      <c r="HF4" s="382">
        <f>'Notes - Mar25'!B16</f>
        <v>10811.970000000001</v>
      </c>
      <c r="HG4" s="382">
        <f>'Notes - Apr25'!B16</f>
        <v>7460.45</v>
      </c>
      <c r="HH4" s="382">
        <f>'Notes - May25'!B16</f>
        <v>9347.7900000000009</v>
      </c>
      <c r="HI4" s="382">
        <f>'Notes - Jun25'!B16</f>
        <v>14308.72</v>
      </c>
      <c r="HJ4" s="382"/>
      <c r="HK4" s="382"/>
      <c r="HL4" s="382"/>
      <c r="HM4" s="382"/>
      <c r="HN4" s="382"/>
      <c r="HO4" s="382"/>
      <c r="HP4" s="382"/>
      <c r="HQ4" s="382"/>
      <c r="HR4" s="382"/>
      <c r="HS4" s="382"/>
      <c r="HT4" s="382"/>
      <c r="HU4" s="382"/>
      <c r="HW4" s="480" t="s">
        <v>73</v>
      </c>
      <c r="HX4" s="481"/>
      <c r="HY4" s="481"/>
      <c r="HZ4" s="481"/>
      <c r="IA4" s="481"/>
      <c r="IB4" s="482"/>
      <c r="ID4" s="383" t="s">
        <v>439</v>
      </c>
      <c r="IE4" s="438" t="s">
        <v>350</v>
      </c>
      <c r="IF4" s="438">
        <v>22047.18</v>
      </c>
      <c r="IG4" s="438">
        <v>28449.919999999998</v>
      </c>
      <c r="IH4" s="438">
        <v>81576.899999999994</v>
      </c>
    </row>
    <row r="5" spans="1:242" ht="15" customHeight="1" x14ac:dyDescent="0.25">
      <c r="A5" s="361" t="s">
        <v>3</v>
      </c>
      <c r="B5" s="381">
        <v>34674</v>
      </c>
      <c r="C5" s="381">
        <v>30782</v>
      </c>
      <c r="D5" s="381">
        <v>29506</v>
      </c>
      <c r="E5" s="381">
        <v>30848</v>
      </c>
      <c r="F5" s="381">
        <v>29499</v>
      </c>
      <c r="G5" s="381">
        <v>24289</v>
      </c>
      <c r="H5" s="381">
        <v>28755</v>
      </c>
      <c r="I5" s="381">
        <v>27874</v>
      </c>
      <c r="J5" s="381">
        <v>27502</v>
      </c>
      <c r="K5" s="381">
        <v>29356</v>
      </c>
      <c r="L5" s="381">
        <v>28545</v>
      </c>
      <c r="M5" s="381">
        <v>27846</v>
      </c>
      <c r="N5" s="381">
        <v>29720</v>
      </c>
      <c r="O5" s="381">
        <v>28457</v>
      </c>
      <c r="P5" s="381">
        <v>27544</v>
      </c>
      <c r="Q5" s="381">
        <v>28187</v>
      </c>
      <c r="R5" s="381">
        <v>27919</v>
      </c>
      <c r="S5" s="381">
        <v>25762</v>
      </c>
      <c r="T5" s="381">
        <v>27884</v>
      </c>
      <c r="U5" s="381">
        <v>26759</v>
      </c>
      <c r="V5" s="381">
        <v>26159</v>
      </c>
      <c r="W5" s="381">
        <v>27863</v>
      </c>
      <c r="X5" s="381">
        <v>27232</v>
      </c>
      <c r="Y5" s="381">
        <v>26594</v>
      </c>
      <c r="Z5" s="381">
        <v>28065</v>
      </c>
      <c r="AA5" s="381">
        <v>26950</v>
      </c>
      <c r="AB5" s="381">
        <v>26115</v>
      </c>
      <c r="AC5" s="381">
        <v>38045</v>
      </c>
      <c r="AD5" s="381">
        <v>36253</v>
      </c>
      <c r="AE5" s="381">
        <v>36253</v>
      </c>
      <c r="AF5" s="382">
        <v>22719</v>
      </c>
      <c r="AG5" s="382">
        <v>22228</v>
      </c>
      <c r="AH5" s="382">
        <v>22645</v>
      </c>
      <c r="AI5" s="382">
        <v>23845</v>
      </c>
      <c r="AJ5" s="382">
        <v>22199</v>
      </c>
      <c r="AK5" s="382">
        <v>21811</v>
      </c>
      <c r="AL5" s="382">
        <f>'Notes - Jul10'!K5</f>
        <v>23500</v>
      </c>
      <c r="AM5" s="382">
        <f>'Notes - Aug10'!K5</f>
        <v>16570</v>
      </c>
      <c r="AN5" s="382">
        <f>'Notes - Sept10'!J5</f>
        <v>16139</v>
      </c>
      <c r="AO5" s="382">
        <f>'Notes - Oct 10'!J6</f>
        <v>16756</v>
      </c>
      <c r="AP5" s="376">
        <f>'Notes - Nov 10'!J6</f>
        <v>15961</v>
      </c>
      <c r="AQ5" s="382">
        <f>'Notes - Dec 10'!J5</f>
        <v>15958</v>
      </c>
      <c r="AR5" s="382">
        <f>'Notes - Jan 11'!J5</f>
        <v>14118</v>
      </c>
      <c r="AS5" s="376">
        <f>'Notes - Feb 11'!J5</f>
        <v>13136</v>
      </c>
      <c r="AT5" s="382">
        <f>'Notes - Mar 11'!J5</f>
        <v>12678</v>
      </c>
      <c r="AU5" s="382">
        <f>'Notes - Apr 11'!I5</f>
        <v>11536</v>
      </c>
      <c r="AV5" s="382">
        <f>'Notes - May 11'!I5</f>
        <v>11288</v>
      </c>
      <c r="AW5" s="382">
        <f>'Notes - Jun 11'!I5</f>
        <v>10791</v>
      </c>
      <c r="AX5" s="382">
        <f>'Notes - Jul 11'!B20</f>
        <v>11072</v>
      </c>
      <c r="AY5" s="382">
        <f>'Notes - Aug 11'!B20</f>
        <v>10816</v>
      </c>
      <c r="AZ5" s="382">
        <f>'Notes - Sep11'!B20</f>
        <v>9669</v>
      </c>
      <c r="BA5" s="382">
        <f>'Notes - Oct11'!B20</f>
        <v>10699</v>
      </c>
      <c r="BB5" s="382">
        <f>'Notes - Nov11'!B20</f>
        <v>10093</v>
      </c>
      <c r="BC5" s="382">
        <f>'Notes - Dec11'!B20</f>
        <v>9907</v>
      </c>
      <c r="BD5" s="382">
        <f>'Notes - Jan12'!B20</f>
        <v>10628</v>
      </c>
      <c r="BE5" s="382">
        <f>'Notes - Feb12'!B20</f>
        <v>10379</v>
      </c>
      <c r="BF5" s="382">
        <f>'Notes - Mar12'!B20</f>
        <v>10052</v>
      </c>
      <c r="BG5" s="382">
        <f>'Notes - Apr12'!B20</f>
        <v>10555</v>
      </c>
      <c r="BH5" s="382">
        <f>'Notes - May12'!B20</f>
        <v>9982</v>
      </c>
      <c r="BI5" s="382">
        <f>'Notes - Jun12'!B20</f>
        <v>6679.35</v>
      </c>
      <c r="BJ5" s="382">
        <f>'Notes - Jul12'!B20</f>
        <v>7193.8499999999995</v>
      </c>
      <c r="BK5" s="382">
        <f>'Notes - Aug12'!B20</f>
        <v>7155.66</v>
      </c>
      <c r="BL5" s="382">
        <f>'Notes - Sep12'!B20</f>
        <v>6701.37</v>
      </c>
      <c r="BM5" s="382">
        <f>'Notes - Oct12'!B20</f>
        <v>7069.46</v>
      </c>
      <c r="BN5" s="382">
        <f>'Notes - Nov12'!B20</f>
        <v>6723.53</v>
      </c>
      <c r="BO5" s="382">
        <f>'Notes - Dec12'!B20</f>
        <v>6723.53</v>
      </c>
      <c r="BP5" s="382">
        <f>'Notes - Jan13'!B20</f>
        <v>7057.3499999999995</v>
      </c>
      <c r="BQ5" s="382">
        <f>'Notes - Feb13'!B20</f>
        <v>7019.3</v>
      </c>
      <c r="BR5" s="382">
        <f>'Notes - Mar13'!B20</f>
        <v>6531.57</v>
      </c>
      <c r="BS5" s="382">
        <f>'Notes - Apr13'!B20</f>
        <v>44097.5</v>
      </c>
      <c r="BT5" s="382">
        <f>'Notes - May13'!B20</f>
        <v>44041.229999999996</v>
      </c>
      <c r="BU5" s="382">
        <f>'Notes - Jun13'!B20</f>
        <v>43920.49</v>
      </c>
      <c r="BV5" s="382">
        <f>'Notes - Jul 13'!B19</f>
        <v>44287.979999999996</v>
      </c>
      <c r="BW5" s="382">
        <f>'Notes - Aug13'!B19</f>
        <v>44026.37</v>
      </c>
      <c r="BX5" s="382">
        <f>'Notes - Sep13'!B19</f>
        <v>43886.11</v>
      </c>
      <c r="BY5" s="382">
        <f>'Notes - Oct13'!B19</f>
        <v>45428.639999999999</v>
      </c>
      <c r="BZ5" s="382">
        <f>'Notes - Nov13'!B19</f>
        <v>45463.94</v>
      </c>
      <c r="CA5" s="382">
        <f>'Notes - Dec13'!B19</f>
        <v>7935.94</v>
      </c>
      <c r="CB5" s="382">
        <f>'Notes - Jan14'!B19</f>
        <v>9381.83</v>
      </c>
      <c r="CC5" s="382">
        <f>'Notes - Feb14'!B19</f>
        <v>9241.1200000000008</v>
      </c>
      <c r="CD5" s="382">
        <f>'Notes - Mar14'!B20</f>
        <v>7505.13</v>
      </c>
      <c r="CE5" s="382">
        <f>'Notes - Apr14'!B20</f>
        <v>7613.1900000000005</v>
      </c>
      <c r="CF5" s="382">
        <f>'Notes - May14'!B20</f>
        <v>6964.4500000000007</v>
      </c>
      <c r="CG5" s="382">
        <f>'Notes - Jun14'!B20</f>
        <v>6573.63</v>
      </c>
      <c r="CH5" s="382">
        <f>'Notes - Jul14'!B20</f>
        <v>6840.12</v>
      </c>
      <c r="CI5" s="382">
        <f>'Notes - Aug14'!B20</f>
        <v>6538.0599999999995</v>
      </c>
      <c r="CJ5" s="382">
        <f>'Notes - Sep14'!B20</f>
        <v>6335.07</v>
      </c>
      <c r="CK5" s="382">
        <f>'Notes - Oct14'!B20</f>
        <v>7613.1200000000008</v>
      </c>
      <c r="CL5" s="382">
        <f>'Notes - Nov14'!B20</f>
        <v>6231.95</v>
      </c>
      <c r="CM5" s="382">
        <f>'Notes - Dec14'!B20</f>
        <v>6066.7</v>
      </c>
      <c r="CN5" s="382">
        <f>'Notes - Jan15'!B20</f>
        <v>6235.31</v>
      </c>
      <c r="CO5" s="382">
        <f>'Notes - Feb15'!B20</f>
        <v>6125.22</v>
      </c>
      <c r="CP5" s="382">
        <f>'Notes - Mar15'!B20</f>
        <v>5001.59</v>
      </c>
      <c r="CQ5" s="382">
        <f>'Notes - Apr15'!B20</f>
        <v>5263.41</v>
      </c>
      <c r="CR5" s="382">
        <f>'Notes - May15'!B20</f>
        <v>5182.0600000000004</v>
      </c>
      <c r="CS5" s="382">
        <f>'Notes - Jun15'!B20</f>
        <v>14376.919999999998</v>
      </c>
      <c r="CT5" s="382">
        <f>'Notes - Jul15'!B20</f>
        <v>17108.07</v>
      </c>
      <c r="CU5" s="382">
        <f>'Notes - Aug15'!B20</f>
        <v>15319.83</v>
      </c>
      <c r="CV5" s="382">
        <f>'Notes - Sep15'!B20</f>
        <v>15259.83</v>
      </c>
      <c r="CW5" s="382">
        <f>'Notes - Oct15'!B20</f>
        <v>17170.309999999998</v>
      </c>
      <c r="CX5" s="382">
        <f>'Notes - Nov15'!B20</f>
        <v>16402.670000000002</v>
      </c>
      <c r="CY5" s="382">
        <f>'Notes - Dec15'!B20</f>
        <v>16220.39</v>
      </c>
      <c r="CZ5" s="382">
        <f>'Notes - Jan16'!B20</f>
        <v>18284.91</v>
      </c>
      <c r="DA5" s="382">
        <f>'Notes - Feb16'!B17</f>
        <v>17788.14</v>
      </c>
      <c r="DB5" s="382">
        <f>'Notes - Mar16'!B17</f>
        <v>16693.03</v>
      </c>
      <c r="DC5" s="382">
        <f>'Notes - Apr16'!B17</f>
        <v>17877.38</v>
      </c>
      <c r="DD5" s="382">
        <f>'Notes - May16'!B17</f>
        <v>16838.79</v>
      </c>
      <c r="DE5" s="382">
        <f>'Notes - Jun16'!B17</f>
        <v>15328.67</v>
      </c>
      <c r="DF5" s="382">
        <f>'Notes - Jul16'!B17</f>
        <v>16528.919999999998</v>
      </c>
      <c r="DG5" s="382">
        <f>'Notes - Aug16'!B17</f>
        <v>16409.45</v>
      </c>
      <c r="DH5" s="382">
        <f>'Notes - Sep16'!B17</f>
        <v>16055.55</v>
      </c>
      <c r="DI5" s="382">
        <f>'Notes - Oct16'!B17</f>
        <v>17468.28</v>
      </c>
      <c r="DJ5" s="382">
        <f>'Notes - Nov16'!B17</f>
        <v>6898.53</v>
      </c>
      <c r="DK5" s="382">
        <f>'Notes - Dec16'!B17</f>
        <v>6791.89</v>
      </c>
      <c r="DL5" s="382">
        <f>'Notes - Jan17'!B17</f>
        <v>8270.7100000000009</v>
      </c>
      <c r="DM5" s="382">
        <f>'Notes - Feb17 '!B17</f>
        <v>8230.99</v>
      </c>
      <c r="DN5" s="382">
        <f>'Notes - Mar17'!B17</f>
        <v>7352.06</v>
      </c>
      <c r="DO5" s="382">
        <f>'Notes - April17'!B17</f>
        <v>8576.26</v>
      </c>
      <c r="DP5" s="382">
        <f>'Notes - May17'!B17</f>
        <v>8248.7999999999993</v>
      </c>
      <c r="DQ5" s="382">
        <f>'Notes - June17'!B17</f>
        <v>6773.4</v>
      </c>
      <c r="DR5" s="382">
        <f>'Notes - July17'!B17</f>
        <v>8173.95</v>
      </c>
      <c r="DS5" s="382">
        <f>'Notes - Aug17'!B17</f>
        <v>7758.8899999999994</v>
      </c>
      <c r="DT5" s="382">
        <f>'Notes - Sept17'!B17</f>
        <v>7061.02</v>
      </c>
      <c r="DU5" s="382">
        <f>'Notes - Oct17'!B17</f>
        <v>8300.67</v>
      </c>
      <c r="DV5" s="382">
        <f>'Notes - Nov17'!B17</f>
        <v>8143.5199999999995</v>
      </c>
      <c r="DW5" s="382">
        <f>'Notes - Dec17'!B17</f>
        <v>8003.41</v>
      </c>
      <c r="DX5" s="382">
        <f>'Notes - Jan18'!B17</f>
        <v>9418.56</v>
      </c>
      <c r="DY5" s="382">
        <f>'Notes - Feb18'!B17</f>
        <v>9238.42</v>
      </c>
      <c r="DZ5" s="382">
        <f>'Notes - Mar18'!B17</f>
        <v>9116.23</v>
      </c>
      <c r="EA5" s="382">
        <f>'Notes - Apr18'!B17</f>
        <v>10448.890000000001</v>
      </c>
      <c r="EB5" s="382">
        <f>'Notes - May18'!B17</f>
        <v>6181.79</v>
      </c>
      <c r="EC5" s="382">
        <f>'Notes - Jun18'!B17</f>
        <v>6078.43</v>
      </c>
      <c r="ED5" s="382">
        <f>'Notes - Jul18'!B17</f>
        <v>6968.41</v>
      </c>
      <c r="EE5" s="382">
        <f>'Notes - Aug18'!B17</f>
        <v>6848.8600000000006</v>
      </c>
      <c r="EF5" s="382">
        <f>'Notes - Sept18'!B17</f>
        <v>6741.36</v>
      </c>
      <c r="EG5" s="382">
        <f>'Notes - Oct18'!B17</f>
        <v>7629.37</v>
      </c>
      <c r="EH5" s="382">
        <f>'Notes - Nov18'!B17</f>
        <v>7112.27</v>
      </c>
      <c r="EI5" s="382">
        <f>'Notes - Dec18'!B17</f>
        <v>7112.27</v>
      </c>
      <c r="EJ5" s="382">
        <f>'Notes - Jan19'!B17</f>
        <v>8253.43</v>
      </c>
      <c r="EK5" s="382">
        <f>'Notes - Feb19'!B17</f>
        <v>8200.19</v>
      </c>
      <c r="EL5" s="382">
        <f>'Notes - Mar19'!B17</f>
        <v>8157.54</v>
      </c>
      <c r="EM5" s="382">
        <f>'Notes - Apr19'!B17</f>
        <v>9261.64</v>
      </c>
      <c r="EN5" s="382">
        <f>'Notes - May19'!B17</f>
        <v>9025.4600000000009</v>
      </c>
      <c r="EO5" s="382">
        <f>'Notes - Jun19'!B17</f>
        <v>8989.1200000000008</v>
      </c>
      <c r="EP5" s="382">
        <f>'Notes - Jul19'!B17</f>
        <v>9667.25</v>
      </c>
      <c r="EQ5" s="382">
        <f>'Notes - Aug19'!B17</f>
        <v>9533.4599999999991</v>
      </c>
      <c r="ER5" s="382">
        <f>'Notes - Sep19'!B17</f>
        <v>9483.85</v>
      </c>
      <c r="ES5" s="382">
        <f>'Notes - Oct19'!B17</f>
        <v>10336.57</v>
      </c>
      <c r="ET5" s="382">
        <f>'Notes - Nov19'!B17</f>
        <v>10269.369999999999</v>
      </c>
      <c r="EU5" s="382">
        <f>'Notes - Dec19'!B17</f>
        <v>10160.18</v>
      </c>
      <c r="EV5" s="382">
        <f>'Notes - Jan20'!B17</f>
        <v>11215.34</v>
      </c>
      <c r="EW5" s="382">
        <f>'Notes - Feb20'!B17</f>
        <v>11135.34</v>
      </c>
      <c r="EX5" s="382">
        <f>'Notes - Mar20'!B17</f>
        <v>10896.83</v>
      </c>
      <c r="EY5" s="382">
        <f>'Notes - Apr20'!B17</f>
        <v>12015.69</v>
      </c>
      <c r="EZ5" s="382">
        <f>'Notes - May20'!B17</f>
        <v>11564.47</v>
      </c>
      <c r="FA5" s="382">
        <f>'Notes - Jun20'!B17</f>
        <v>11557.83</v>
      </c>
      <c r="FB5" s="382">
        <f>'Notes - Jul20'!B17</f>
        <v>12433.9</v>
      </c>
      <c r="FC5" s="382">
        <f>'Notes - Aug20'!B17</f>
        <v>6872.5599999999995</v>
      </c>
      <c r="FD5" s="382">
        <f>'Notes - Sep20'!B17</f>
        <v>6812.13</v>
      </c>
      <c r="FE5" s="382">
        <f>'Notes - Oct20'!B17</f>
        <v>7060.2599999999993</v>
      </c>
      <c r="FF5" s="382">
        <f>'Notes - Nov20'!B17</f>
        <v>7060.2599999999993</v>
      </c>
      <c r="FG5" s="382">
        <f>'Notes - Dec20'!B17</f>
        <v>6999.03</v>
      </c>
      <c r="FH5" s="382">
        <f>'Notes - Jan21'!B17</f>
        <v>7548.09</v>
      </c>
      <c r="FI5" s="382">
        <f>'Notes - Feb21'!B17</f>
        <v>7218.03</v>
      </c>
      <c r="FJ5" s="382">
        <f>'Notes - Mar21'!B17</f>
        <v>7218.03</v>
      </c>
      <c r="FK5" s="382">
        <f>'Notes - Apr21'!B17</f>
        <v>7786.55</v>
      </c>
      <c r="FL5" s="382">
        <f>'Notes - May21'!B17</f>
        <v>7483.76</v>
      </c>
      <c r="FM5" s="382">
        <f>'Notes - Jun21'!B17</f>
        <v>7361.92</v>
      </c>
      <c r="FN5" s="382">
        <f>'Notes - Jul21'!B17</f>
        <v>7809.9800000000005</v>
      </c>
      <c r="FO5" s="382">
        <f>'Notes - Aug21'!B17</f>
        <v>7729.37</v>
      </c>
      <c r="FP5" s="382">
        <f>'Notes - Sept21'!B17</f>
        <v>7729.37</v>
      </c>
      <c r="FQ5" s="382">
        <f>'Notes - Oct21'!B17</f>
        <v>8171.0599999999995</v>
      </c>
      <c r="FR5" s="382">
        <f>'Notes - Nov21'!B17</f>
        <v>8171.0599999999995</v>
      </c>
      <c r="FS5" s="382">
        <f>'Notes - Dec21'!B17</f>
        <v>8689.49</v>
      </c>
      <c r="FT5" s="382">
        <f>'Notes - Jan22'!B17</f>
        <v>8091.8</v>
      </c>
      <c r="FU5" s="382">
        <f>'Notes - Feb22'!B17</f>
        <v>8689.49</v>
      </c>
      <c r="FV5" s="382">
        <f>'Notes - March22'!B17</f>
        <v>8609.17</v>
      </c>
      <c r="FW5" s="382">
        <f>'Notes - April22'!B17</f>
        <v>9128.68</v>
      </c>
      <c r="FX5" s="382">
        <f>'Notes - May22'!B17</f>
        <v>9128.68</v>
      </c>
      <c r="FY5" s="382">
        <f>'Notes - June22'!B17</f>
        <v>9088.49</v>
      </c>
      <c r="FZ5" s="382">
        <f>'Notes - July22'!B17</f>
        <v>9669.24</v>
      </c>
      <c r="GA5" s="382">
        <f>'Notes - AUG22'!B17</f>
        <v>9063.8000000000011</v>
      </c>
      <c r="GB5" s="382">
        <f>'Notes - Sep22'!B17</f>
        <v>9063.7999999999993</v>
      </c>
      <c r="GC5" s="382">
        <f>'Notes - Oct22'!B17</f>
        <v>9731.7199999999993</v>
      </c>
      <c r="GD5" s="382">
        <f>'Notes - Nov22'!B17</f>
        <v>9566.1299999999992</v>
      </c>
      <c r="GE5" s="382">
        <f>'Notes - Dec22'!B17</f>
        <v>9467.6200000000008</v>
      </c>
      <c r="GF5" s="382">
        <f>'Notes - Jan23'!B17</f>
        <v>10166.780000000001</v>
      </c>
      <c r="GG5" s="382">
        <f>'Notes - Feb23'!B17</f>
        <v>9775.85</v>
      </c>
      <c r="GH5" s="382">
        <f>'Notes - Mar23'!B17</f>
        <v>9301.6</v>
      </c>
      <c r="GI5" s="382">
        <f>'Notes - Apr23'!B17</f>
        <v>9333.16</v>
      </c>
      <c r="GJ5" s="382">
        <f>'Notes - May23'!B17</f>
        <v>8760.09</v>
      </c>
      <c r="GK5" s="382">
        <f>'Notes - Jun23'!B17</f>
        <v>7758.35</v>
      </c>
      <c r="GL5" s="382">
        <f>'Notes - Jul23'!B17</f>
        <v>7677.09</v>
      </c>
      <c r="GM5" s="382">
        <f>'Notes - Aug23'!B17</f>
        <v>7105.05</v>
      </c>
      <c r="GN5" s="382">
        <f>'Notes - Sep23'!B17</f>
        <v>6655.05</v>
      </c>
      <c r="GO5" s="382">
        <f>'Notes - Oct23'!B17</f>
        <v>7023.3600000000006</v>
      </c>
      <c r="GP5" s="382">
        <f>'Notes - Nov23'!B17</f>
        <v>6123.3600000000006</v>
      </c>
      <c r="GQ5" s="382">
        <f>'Notes - Dec23'!B17</f>
        <v>5673.36</v>
      </c>
      <c r="GR5" s="382">
        <f>'Notes - Jan24'!B17</f>
        <v>5549.0499999999993</v>
      </c>
      <c r="GS5" s="382">
        <f>'Notes - Feb24'!B17</f>
        <v>5099.0499999999993</v>
      </c>
      <c r="GT5" s="382">
        <f>'Notes - Mar24'!B17</f>
        <v>4536.26</v>
      </c>
      <c r="GU5" s="382">
        <f>'Notes - Apr24'!B17</f>
        <v>4414.8</v>
      </c>
      <c r="GV5" s="382">
        <f>'Notes - May24'!B17</f>
        <v>3927.8500000000004</v>
      </c>
      <c r="GW5" s="382">
        <f>'Notes - Jun24'!B17</f>
        <v>3477.85</v>
      </c>
      <c r="GX5" s="382">
        <f>'Notes - Jul24'!B17</f>
        <v>3356.13</v>
      </c>
      <c r="GY5" s="382">
        <f>'Notes - Aug24'!B17</f>
        <v>2906.13</v>
      </c>
      <c r="GZ5" s="382">
        <f>'Notes - Sep24'!B17</f>
        <v>2485.08</v>
      </c>
      <c r="HA5" s="382">
        <f>'Notes - Oct24'!B17</f>
        <v>2464.75</v>
      </c>
      <c r="HB5" s="382">
        <f>'Notes - Nov24'!B17</f>
        <v>2464.75</v>
      </c>
      <c r="HC5" s="382">
        <f>'Notes - Dec24'!B17</f>
        <v>2464.75</v>
      </c>
      <c r="HD5" s="382">
        <f>'Notes - Jan25'!B17</f>
        <v>2484.75</v>
      </c>
      <c r="HE5" s="382">
        <f>'Notes - Feb25'!B17</f>
        <v>2504.75</v>
      </c>
      <c r="HF5" s="382">
        <f>'Notes - Mar25'!B17</f>
        <v>2504.75</v>
      </c>
      <c r="HG5" s="382">
        <f>'Notes - Apr25'!B17</f>
        <v>2524.75</v>
      </c>
      <c r="HH5" s="382">
        <f>'Notes - May25'!B17</f>
        <v>2524.75</v>
      </c>
      <c r="HI5" s="382">
        <f>'Notes - Jun25'!B17</f>
        <v>2524.75</v>
      </c>
      <c r="HJ5" s="382"/>
      <c r="HK5" s="382"/>
      <c r="HL5" s="382"/>
      <c r="HM5" s="382"/>
      <c r="HN5" s="382"/>
      <c r="HO5" s="382"/>
      <c r="HP5" s="382"/>
      <c r="HQ5" s="382"/>
      <c r="HR5" s="382"/>
      <c r="HS5" s="382"/>
      <c r="HT5" s="382"/>
      <c r="HU5" s="382"/>
      <c r="HW5" s="480" t="s">
        <v>359</v>
      </c>
      <c r="HX5" s="481"/>
      <c r="HY5" s="481"/>
      <c r="HZ5" s="481"/>
      <c r="IA5" s="481"/>
      <c r="IB5" s="482"/>
      <c r="IH5" s="438">
        <f>SUM(IF4:IH4)</f>
        <v>132074</v>
      </c>
    </row>
    <row r="6" spans="1:242" s="385" customFormat="1" ht="15" customHeight="1" x14ac:dyDescent="0.25">
      <c r="A6" s="385" t="s">
        <v>387</v>
      </c>
      <c r="B6" s="430">
        <f>SUM(B2:B5)</f>
        <v>927819</v>
      </c>
      <c r="C6" s="430">
        <f t="shared" ref="C6:I6" si="47">SUM(C2:C5)</f>
        <v>873348</v>
      </c>
      <c r="D6" s="430">
        <f t="shared" si="47"/>
        <v>872648</v>
      </c>
      <c r="E6" s="430">
        <f t="shared" si="47"/>
        <v>809570</v>
      </c>
      <c r="F6" s="430">
        <f t="shared" si="47"/>
        <v>755662</v>
      </c>
      <c r="G6" s="430">
        <f t="shared" si="47"/>
        <v>854874</v>
      </c>
      <c r="H6" s="430">
        <f t="shared" si="47"/>
        <v>813840</v>
      </c>
      <c r="I6" s="430">
        <f t="shared" si="47"/>
        <v>823265</v>
      </c>
      <c r="J6" s="430">
        <f t="shared" ref="J6:AO6" si="48">SUM(J2:J5)</f>
        <v>783378</v>
      </c>
      <c r="K6" s="430">
        <f t="shared" si="48"/>
        <v>789530</v>
      </c>
      <c r="L6" s="430">
        <f t="shared" si="48"/>
        <v>786195</v>
      </c>
      <c r="M6" s="430">
        <f t="shared" si="48"/>
        <v>638729</v>
      </c>
      <c r="N6" s="430">
        <f t="shared" si="48"/>
        <v>598884</v>
      </c>
      <c r="O6" s="430">
        <f t="shared" si="48"/>
        <v>655261</v>
      </c>
      <c r="P6" s="430">
        <f t="shared" si="48"/>
        <v>632844</v>
      </c>
      <c r="Q6" s="430">
        <f t="shared" si="48"/>
        <v>620422</v>
      </c>
      <c r="R6" s="430">
        <f t="shared" si="48"/>
        <v>669216</v>
      </c>
      <c r="S6" s="430">
        <f t="shared" si="48"/>
        <v>677969</v>
      </c>
      <c r="T6" s="430">
        <f t="shared" si="48"/>
        <v>731148</v>
      </c>
      <c r="U6" s="430">
        <f t="shared" si="48"/>
        <v>861430</v>
      </c>
      <c r="V6" s="430">
        <f t="shared" si="48"/>
        <v>769052</v>
      </c>
      <c r="W6" s="430">
        <f t="shared" si="48"/>
        <v>766450</v>
      </c>
      <c r="X6" s="430">
        <f t="shared" si="48"/>
        <v>985045</v>
      </c>
      <c r="Y6" s="430">
        <f t="shared" si="48"/>
        <v>857306</v>
      </c>
      <c r="Z6" s="430">
        <f t="shared" si="48"/>
        <v>774554</v>
      </c>
      <c r="AA6" s="430">
        <f t="shared" si="48"/>
        <v>768927</v>
      </c>
      <c r="AB6" s="430">
        <f t="shared" si="48"/>
        <v>790295</v>
      </c>
      <c r="AC6" s="430">
        <f t="shared" si="48"/>
        <v>818689</v>
      </c>
      <c r="AD6" s="430">
        <f t="shared" si="48"/>
        <v>853501</v>
      </c>
      <c r="AE6" s="430">
        <f t="shared" si="48"/>
        <v>858755</v>
      </c>
      <c r="AF6" s="430">
        <f t="shared" si="48"/>
        <v>873147</v>
      </c>
      <c r="AG6" s="430">
        <f t="shared" si="48"/>
        <v>922868</v>
      </c>
      <c r="AH6" s="430">
        <f t="shared" si="48"/>
        <v>866807</v>
      </c>
      <c r="AI6" s="430">
        <f t="shared" si="48"/>
        <v>863794</v>
      </c>
      <c r="AJ6" s="430">
        <f t="shared" si="48"/>
        <v>974642.77</v>
      </c>
      <c r="AK6" s="430">
        <f t="shared" si="48"/>
        <v>926145</v>
      </c>
      <c r="AL6" s="430">
        <f t="shared" si="48"/>
        <v>908858</v>
      </c>
      <c r="AM6" s="430">
        <f t="shared" si="48"/>
        <v>1001083</v>
      </c>
      <c r="AN6" s="430">
        <f t="shared" si="48"/>
        <v>838550</v>
      </c>
      <c r="AO6" s="430">
        <f t="shared" si="48"/>
        <v>840158</v>
      </c>
      <c r="AP6" s="430">
        <f t="shared" ref="AP6:BU6" si="49">SUM(AP2:AP5)</f>
        <v>855130</v>
      </c>
      <c r="AQ6" s="430">
        <f t="shared" si="49"/>
        <v>830523</v>
      </c>
      <c r="AR6" s="430">
        <f t="shared" si="49"/>
        <v>862335</v>
      </c>
      <c r="AS6" s="430">
        <f t="shared" si="49"/>
        <v>899421</v>
      </c>
      <c r="AT6" s="430">
        <f t="shared" si="49"/>
        <v>828796</v>
      </c>
      <c r="AU6" s="430">
        <f t="shared" si="49"/>
        <v>818638.33</v>
      </c>
      <c r="AV6" s="430">
        <f t="shared" si="49"/>
        <v>990605.44</v>
      </c>
      <c r="AW6" s="430">
        <f t="shared" si="49"/>
        <v>959666.38</v>
      </c>
      <c r="AX6" s="430">
        <f t="shared" si="49"/>
        <v>885378.39</v>
      </c>
      <c r="AY6" s="430">
        <f t="shared" si="49"/>
        <v>944843.85</v>
      </c>
      <c r="AZ6" s="430">
        <f t="shared" si="49"/>
        <v>949329.12</v>
      </c>
      <c r="BA6" s="430">
        <f t="shared" si="49"/>
        <v>864366.83</v>
      </c>
      <c r="BB6" s="430">
        <f t="shared" si="49"/>
        <v>954357.22</v>
      </c>
      <c r="BC6" s="430">
        <f t="shared" si="49"/>
        <v>951272.64</v>
      </c>
      <c r="BD6" s="430">
        <f t="shared" si="49"/>
        <v>921462.34</v>
      </c>
      <c r="BE6" s="430">
        <f t="shared" si="49"/>
        <v>1006135.72</v>
      </c>
      <c r="BF6" s="430">
        <f t="shared" si="49"/>
        <v>989130.34</v>
      </c>
      <c r="BG6" s="430">
        <f t="shared" si="49"/>
        <v>827922.34</v>
      </c>
      <c r="BH6" s="430">
        <f t="shared" si="49"/>
        <v>910235</v>
      </c>
      <c r="BI6" s="430">
        <f t="shared" si="49"/>
        <v>968054.56</v>
      </c>
      <c r="BJ6" s="430">
        <f t="shared" si="49"/>
        <v>901479.93</v>
      </c>
      <c r="BK6" s="430">
        <f t="shared" si="49"/>
        <v>972801.12000000011</v>
      </c>
      <c r="BL6" s="430">
        <f t="shared" si="49"/>
        <v>934444.03</v>
      </c>
      <c r="BM6" s="430">
        <f t="shared" si="49"/>
        <v>885877.14999999991</v>
      </c>
      <c r="BN6" s="430">
        <f t="shared" si="49"/>
        <v>954244.62</v>
      </c>
      <c r="BO6" s="430">
        <f t="shared" si="49"/>
        <v>943471.28</v>
      </c>
      <c r="BP6" s="430">
        <f t="shared" si="49"/>
        <v>909218.46000000008</v>
      </c>
      <c r="BQ6" s="430">
        <f t="shared" si="49"/>
        <v>974566.4600000002</v>
      </c>
      <c r="BR6" s="430">
        <f t="shared" si="49"/>
        <v>955172.47</v>
      </c>
      <c r="BS6" s="430">
        <f t="shared" si="49"/>
        <v>960218.90999999992</v>
      </c>
      <c r="BT6" s="430">
        <f t="shared" si="49"/>
        <v>1016602.61</v>
      </c>
      <c r="BU6" s="430">
        <f t="shared" si="49"/>
        <v>1158926.6500000001</v>
      </c>
      <c r="BV6" s="430">
        <f t="shared" ref="BV6:DA6" si="50">SUM(BV2:BV5)</f>
        <v>1118103.48</v>
      </c>
      <c r="BW6" s="430">
        <f t="shared" si="50"/>
        <v>1253714.1400000001</v>
      </c>
      <c r="BX6" s="430">
        <f t="shared" si="50"/>
        <v>1253396.4000000001</v>
      </c>
      <c r="BY6" s="430">
        <f t="shared" si="50"/>
        <v>1173801.2499999998</v>
      </c>
      <c r="BZ6" s="430">
        <f t="shared" si="50"/>
        <v>1232331.1799999997</v>
      </c>
      <c r="CA6" s="430">
        <f t="shared" si="50"/>
        <v>1147889.7599999998</v>
      </c>
      <c r="CB6" s="430">
        <f t="shared" si="50"/>
        <v>1054559.4000000001</v>
      </c>
      <c r="CC6" s="430">
        <f t="shared" si="50"/>
        <v>1126109.01</v>
      </c>
      <c r="CD6" s="430">
        <f t="shared" si="50"/>
        <v>1165581.1499999999</v>
      </c>
      <c r="CE6" s="430">
        <f t="shared" si="50"/>
        <v>1116719.2899999998</v>
      </c>
      <c r="CF6" s="430">
        <f t="shared" si="50"/>
        <v>1229074.68</v>
      </c>
      <c r="CG6" s="430">
        <f t="shared" si="50"/>
        <v>1216142.6099999999</v>
      </c>
      <c r="CH6" s="430">
        <f t="shared" si="50"/>
        <v>1022381.19</v>
      </c>
      <c r="CI6" s="430">
        <f t="shared" si="50"/>
        <v>1092456.33</v>
      </c>
      <c r="CJ6" s="430">
        <f t="shared" si="50"/>
        <v>1085020.4200000002</v>
      </c>
      <c r="CK6" s="430">
        <f t="shared" si="50"/>
        <v>971732.55999999994</v>
      </c>
      <c r="CL6" s="430">
        <f t="shared" si="50"/>
        <v>1066372.92</v>
      </c>
      <c r="CM6" s="430">
        <f t="shared" si="50"/>
        <v>1052521.47</v>
      </c>
      <c r="CN6" s="430">
        <f t="shared" si="50"/>
        <v>1011837.58</v>
      </c>
      <c r="CO6" s="430">
        <f t="shared" si="50"/>
        <v>1065455.9099999999</v>
      </c>
      <c r="CP6" s="430">
        <f t="shared" si="50"/>
        <v>1005979.7899999999</v>
      </c>
      <c r="CQ6" s="430">
        <f t="shared" si="50"/>
        <v>950738.64999999991</v>
      </c>
      <c r="CR6" s="430">
        <f t="shared" si="50"/>
        <v>1024683.8000000002</v>
      </c>
      <c r="CS6" s="430">
        <f t="shared" si="50"/>
        <v>1036032.2400000001</v>
      </c>
      <c r="CT6" s="430">
        <f t="shared" si="50"/>
        <v>949431.28999999992</v>
      </c>
      <c r="CU6" s="430">
        <f t="shared" si="50"/>
        <v>999074.31</v>
      </c>
      <c r="CV6" s="430">
        <f t="shared" si="50"/>
        <v>945648.10999999987</v>
      </c>
      <c r="CW6" s="430">
        <f t="shared" si="50"/>
        <v>906402.23</v>
      </c>
      <c r="CX6" s="430">
        <f t="shared" si="50"/>
        <v>993396.01000000013</v>
      </c>
      <c r="CY6" s="430">
        <f t="shared" si="50"/>
        <v>961925.32</v>
      </c>
      <c r="CZ6" s="430">
        <f t="shared" si="50"/>
        <v>969132.93</v>
      </c>
      <c r="DA6" s="430">
        <f t="shared" si="50"/>
        <v>993893.44000000006</v>
      </c>
      <c r="DB6" s="430">
        <f t="shared" ref="DB6:DH6" si="51">SUM(DB2:DB5)</f>
        <v>953399.54</v>
      </c>
      <c r="DC6" s="430">
        <f t="shared" si="51"/>
        <v>946304.31</v>
      </c>
      <c r="DD6" s="430">
        <f t="shared" si="51"/>
        <v>1057808.26</v>
      </c>
      <c r="DE6" s="430">
        <f t="shared" si="51"/>
        <v>1030577.4400000001</v>
      </c>
      <c r="DF6" s="430">
        <f t="shared" si="51"/>
        <v>927960.75999999989</v>
      </c>
      <c r="DG6" s="430">
        <f t="shared" si="51"/>
        <v>926382.25999999989</v>
      </c>
      <c r="DH6" s="430">
        <f t="shared" si="51"/>
        <v>898742.49</v>
      </c>
      <c r="DI6" s="430">
        <f t="shared" ref="DI6:EC6" si="52">SUM(DI2:DI5)</f>
        <v>900621.03</v>
      </c>
      <c r="DJ6" s="430">
        <f t="shared" si="52"/>
        <v>957187.62000000011</v>
      </c>
      <c r="DK6" s="430">
        <f t="shared" si="52"/>
        <v>1009158.53</v>
      </c>
      <c r="DL6" s="430">
        <f t="shared" si="52"/>
        <v>946028.07</v>
      </c>
      <c r="DM6" s="430">
        <f t="shared" si="52"/>
        <v>1028245.1399999999</v>
      </c>
      <c r="DN6" s="430">
        <f t="shared" si="52"/>
        <v>961302.56</v>
      </c>
      <c r="DO6" s="430">
        <f t="shared" si="52"/>
        <v>945515.15</v>
      </c>
      <c r="DP6" s="430">
        <f t="shared" si="52"/>
        <v>1059242.79</v>
      </c>
      <c r="DQ6" s="430">
        <f t="shared" si="52"/>
        <v>972481.15</v>
      </c>
      <c r="DR6" s="430">
        <f t="shared" si="52"/>
        <v>908076.55999999994</v>
      </c>
      <c r="DS6" s="430">
        <f t="shared" si="52"/>
        <v>969771.32</v>
      </c>
      <c r="DT6" s="430">
        <f t="shared" si="52"/>
        <v>950325.26</v>
      </c>
      <c r="DU6" s="430">
        <f t="shared" si="52"/>
        <v>930952.14</v>
      </c>
      <c r="DV6" s="430">
        <f t="shared" si="52"/>
        <v>984492.57</v>
      </c>
      <c r="DW6" s="430">
        <f t="shared" si="52"/>
        <v>1014551.0000000001</v>
      </c>
      <c r="DX6" s="430">
        <f t="shared" si="52"/>
        <v>998232.4800000001</v>
      </c>
      <c r="DY6" s="430">
        <f t="shared" si="52"/>
        <v>1148129.94</v>
      </c>
      <c r="DZ6" s="430">
        <f t="shared" si="52"/>
        <v>1177108.3500000001</v>
      </c>
      <c r="EA6" s="430">
        <f t="shared" si="52"/>
        <v>1051957.47</v>
      </c>
      <c r="EB6" s="430">
        <f t="shared" si="52"/>
        <v>1117074.98</v>
      </c>
      <c r="EC6" s="430">
        <f t="shared" si="52"/>
        <v>1138815.6299999999</v>
      </c>
      <c r="ED6" s="430">
        <f t="shared" ref="ED6:EO6" si="53">SUM(ED2:ED5)</f>
        <v>1117940.3399999999</v>
      </c>
      <c r="EE6" s="430">
        <f t="shared" si="53"/>
        <v>1196850.43</v>
      </c>
      <c r="EF6" s="430">
        <f t="shared" si="53"/>
        <v>1211466.5700000003</v>
      </c>
      <c r="EG6" s="430">
        <f t="shared" si="53"/>
        <v>1163414.27</v>
      </c>
      <c r="EH6" s="430">
        <f t="shared" si="53"/>
        <v>1167858.3299999998</v>
      </c>
      <c r="EI6" s="430">
        <f t="shared" si="53"/>
        <v>1168658.55</v>
      </c>
      <c r="EJ6" s="430">
        <f t="shared" si="53"/>
        <v>1106157.7499999998</v>
      </c>
      <c r="EK6" s="430">
        <f t="shared" si="53"/>
        <v>1174967.5899999999</v>
      </c>
      <c r="EL6" s="430">
        <f t="shared" si="53"/>
        <v>1153264.98</v>
      </c>
      <c r="EM6" s="430">
        <f t="shared" si="53"/>
        <v>1055052.07</v>
      </c>
      <c r="EN6" s="430">
        <f t="shared" si="53"/>
        <v>1145109.1399999999</v>
      </c>
      <c r="EO6" s="430">
        <f t="shared" si="53"/>
        <v>1169623.73</v>
      </c>
      <c r="EP6" s="430">
        <f t="shared" ref="EP6:FA6" si="54">SUM(EP2:EP5)</f>
        <v>1122249.3699999999</v>
      </c>
      <c r="EQ6" s="430">
        <f t="shared" si="54"/>
        <v>1308094.1299999999</v>
      </c>
      <c r="ER6" s="430">
        <f t="shared" si="54"/>
        <v>1255822.94</v>
      </c>
      <c r="ES6" s="430">
        <f t="shared" si="54"/>
        <v>1146141.72</v>
      </c>
      <c r="ET6" s="430">
        <f t="shared" si="54"/>
        <v>1182668.1700000002</v>
      </c>
      <c r="EU6" s="430">
        <f t="shared" si="54"/>
        <v>1170173.01</v>
      </c>
      <c r="EV6" s="430">
        <f t="shared" si="54"/>
        <v>1112945.6800000002</v>
      </c>
      <c r="EW6" s="430">
        <f t="shared" si="54"/>
        <v>1105206.02</v>
      </c>
      <c r="EX6" s="430">
        <f t="shared" si="54"/>
        <v>1107285.55</v>
      </c>
      <c r="EY6" s="430">
        <f t="shared" si="54"/>
        <v>1103387.25</v>
      </c>
      <c r="EZ6" s="430">
        <f t="shared" si="54"/>
        <v>1180380.95</v>
      </c>
      <c r="FA6" s="430">
        <f t="shared" si="54"/>
        <v>1180971.05</v>
      </c>
      <c r="FB6" s="430">
        <f t="shared" ref="FB6:GK6" si="55">SUM(FB2:FB5)</f>
        <v>1100366.6199999999</v>
      </c>
      <c r="FC6" s="430">
        <f t="shared" si="55"/>
        <v>1201117.1700000002</v>
      </c>
      <c r="FD6" s="430">
        <f t="shared" si="55"/>
        <v>1181106.9699999997</v>
      </c>
      <c r="FE6" s="430">
        <f t="shared" si="55"/>
        <v>1173729.02</v>
      </c>
      <c r="FF6" s="430">
        <f t="shared" si="55"/>
        <v>1216287.1400000001</v>
      </c>
      <c r="FG6" s="430">
        <f t="shared" si="55"/>
        <v>1293711.3499999999</v>
      </c>
      <c r="FH6" s="430">
        <f t="shared" si="55"/>
        <v>1135936.78</v>
      </c>
      <c r="FI6" s="430">
        <f t="shared" si="55"/>
        <v>1225681.3699999999</v>
      </c>
      <c r="FJ6" s="430">
        <f t="shared" si="55"/>
        <v>1293643.1100000001</v>
      </c>
      <c r="FK6" s="430">
        <f t="shared" si="55"/>
        <v>1293059.57</v>
      </c>
      <c r="FL6" s="430">
        <f t="shared" si="55"/>
        <v>1347120</v>
      </c>
      <c r="FM6" s="430">
        <f t="shared" si="55"/>
        <v>1384856.1099999999</v>
      </c>
      <c r="FN6" s="430">
        <f t="shared" si="55"/>
        <v>1394301.65</v>
      </c>
      <c r="FO6" s="430">
        <f t="shared" si="55"/>
        <v>1459304.0400000003</v>
      </c>
      <c r="FP6" s="430">
        <f t="shared" si="55"/>
        <v>1492414.2999999998</v>
      </c>
      <c r="FQ6" s="430">
        <f t="shared" si="55"/>
        <v>1340462.33</v>
      </c>
      <c r="FR6" s="430">
        <f t="shared" si="55"/>
        <v>1343841.83</v>
      </c>
      <c r="FS6" s="430">
        <f t="shared" si="55"/>
        <v>1353840.15</v>
      </c>
      <c r="FT6" s="430">
        <f t="shared" si="55"/>
        <v>1360716.55</v>
      </c>
      <c r="FU6" s="430">
        <f t="shared" si="55"/>
        <v>1385605.5799999998</v>
      </c>
      <c r="FV6" s="430">
        <f t="shared" si="55"/>
        <v>1310485.5699999998</v>
      </c>
      <c r="FW6" s="430">
        <f t="shared" si="55"/>
        <v>1194973.4099999999</v>
      </c>
      <c r="FX6" s="430">
        <f t="shared" si="55"/>
        <v>1236297.6700000002</v>
      </c>
      <c r="FY6" s="430">
        <f t="shared" si="55"/>
        <v>1305504.2</v>
      </c>
      <c r="FZ6" s="430">
        <f t="shared" si="55"/>
        <v>1288241.3199999998</v>
      </c>
      <c r="GA6" s="430">
        <f t="shared" si="55"/>
        <v>1301767.93</v>
      </c>
      <c r="GB6" s="430">
        <f t="shared" si="55"/>
        <v>1161348.57</v>
      </c>
      <c r="GC6" s="430">
        <f t="shared" si="55"/>
        <v>1104160.81</v>
      </c>
      <c r="GD6" s="430">
        <f t="shared" si="55"/>
        <v>1154925.9100000001</v>
      </c>
      <c r="GE6" s="430">
        <f t="shared" si="55"/>
        <v>1123917.3900000004</v>
      </c>
      <c r="GF6" s="430">
        <f t="shared" si="55"/>
        <v>1116116.8700000001</v>
      </c>
      <c r="GG6" s="430">
        <f t="shared" si="55"/>
        <v>1249455.29</v>
      </c>
      <c r="GH6" s="430">
        <f t="shared" si="55"/>
        <v>1202462.06</v>
      </c>
      <c r="GI6" s="430">
        <f t="shared" si="55"/>
        <v>1200839.93</v>
      </c>
      <c r="GJ6" s="430">
        <f t="shared" si="55"/>
        <v>1240401.8899999999</v>
      </c>
      <c r="GK6" s="430">
        <f t="shared" si="55"/>
        <v>1243704.9100000001</v>
      </c>
      <c r="GL6" s="430">
        <f t="shared" ref="GL6:HI6" si="56">SUM(GL2:GL5)</f>
        <v>1244748.9500000002</v>
      </c>
      <c r="GM6" s="430">
        <f t="shared" si="56"/>
        <v>1313864.29</v>
      </c>
      <c r="GN6" s="430">
        <f t="shared" si="56"/>
        <v>1327466.53</v>
      </c>
      <c r="GO6" s="430">
        <f t="shared" si="56"/>
        <v>1327611.2400000002</v>
      </c>
      <c r="GP6" s="430">
        <f t="shared" si="56"/>
        <v>1379519.7300000002</v>
      </c>
      <c r="GQ6" s="430">
        <f t="shared" si="56"/>
        <v>1349286.28</v>
      </c>
      <c r="GR6" s="430">
        <f t="shared" si="56"/>
        <v>1336853.03</v>
      </c>
      <c r="GS6" s="430">
        <f t="shared" si="56"/>
        <v>1390012.72</v>
      </c>
      <c r="GT6" s="430">
        <f t="shared" si="56"/>
        <v>1424582.29</v>
      </c>
      <c r="GU6" s="430">
        <f t="shared" si="56"/>
        <v>1424817.9000000001</v>
      </c>
      <c r="GV6" s="430">
        <f t="shared" si="56"/>
        <v>1474368.09</v>
      </c>
      <c r="GW6" s="430">
        <f t="shared" si="56"/>
        <v>1535872.2500000005</v>
      </c>
      <c r="GX6" s="430">
        <f t="shared" si="56"/>
        <v>1485936.16</v>
      </c>
      <c r="GY6" s="430">
        <f t="shared" si="56"/>
        <v>1503149.4499999997</v>
      </c>
      <c r="GZ6" s="430">
        <f t="shared" si="56"/>
        <v>1577288.7600000002</v>
      </c>
      <c r="HA6" s="430">
        <f t="shared" si="56"/>
        <v>1486125.4200000002</v>
      </c>
      <c r="HB6" s="430">
        <f t="shared" si="56"/>
        <v>1562570.2399999998</v>
      </c>
      <c r="HC6" s="430">
        <f t="shared" si="56"/>
        <v>1594564.4</v>
      </c>
      <c r="HD6" s="430">
        <f t="shared" si="56"/>
        <v>1574664.27</v>
      </c>
      <c r="HE6" s="430">
        <f t="shared" si="56"/>
        <v>1630452.81</v>
      </c>
      <c r="HF6" s="430">
        <f t="shared" si="56"/>
        <v>1661643.8599999999</v>
      </c>
      <c r="HG6" s="430">
        <f t="shared" si="56"/>
        <v>1601609.16</v>
      </c>
      <c r="HH6" s="430">
        <f t="shared" si="56"/>
        <v>1707169.0899999999</v>
      </c>
      <c r="HI6" s="430">
        <f t="shared" si="56"/>
        <v>1748165.54</v>
      </c>
      <c r="HJ6" s="430">
        <f t="shared" ref="HJ6:HU6" si="57">SUM(HJ2:HJ5)</f>
        <v>0</v>
      </c>
      <c r="HK6" s="430">
        <f t="shared" si="57"/>
        <v>0</v>
      </c>
      <c r="HL6" s="430">
        <f t="shared" si="57"/>
        <v>0</v>
      </c>
      <c r="HM6" s="430">
        <f t="shared" si="57"/>
        <v>0</v>
      </c>
      <c r="HN6" s="430">
        <f t="shared" si="57"/>
        <v>0</v>
      </c>
      <c r="HO6" s="430">
        <f t="shared" si="57"/>
        <v>0</v>
      </c>
      <c r="HP6" s="430">
        <f t="shared" si="57"/>
        <v>0</v>
      </c>
      <c r="HQ6" s="430">
        <f t="shared" si="57"/>
        <v>0</v>
      </c>
      <c r="HR6" s="430">
        <f t="shared" si="57"/>
        <v>0</v>
      </c>
      <c r="HS6" s="430">
        <f t="shared" si="57"/>
        <v>0</v>
      </c>
      <c r="HT6" s="430">
        <f t="shared" si="57"/>
        <v>0</v>
      </c>
      <c r="HU6" s="430">
        <f t="shared" si="57"/>
        <v>0</v>
      </c>
      <c r="HW6" s="480" t="s">
        <v>92</v>
      </c>
      <c r="HX6" s="481"/>
      <c r="HY6" s="481"/>
      <c r="HZ6" s="481"/>
      <c r="IA6" s="481"/>
      <c r="IB6" s="482"/>
    </row>
    <row r="7" spans="1:242" ht="15" customHeight="1" thickBot="1" x14ac:dyDescent="0.3">
      <c r="A7" s="432"/>
      <c r="B7" s="431"/>
      <c r="C7" s="431"/>
      <c r="D7" s="431"/>
      <c r="E7" s="431"/>
      <c r="F7" s="431"/>
      <c r="G7" s="431"/>
      <c r="H7" s="431"/>
      <c r="I7" s="431"/>
      <c r="J7" s="431"/>
      <c r="K7" s="431"/>
      <c r="L7" s="431"/>
      <c r="M7" s="431"/>
      <c r="N7" s="431"/>
      <c r="O7" s="431"/>
      <c r="P7" s="431"/>
      <c r="Q7" s="431"/>
      <c r="R7" s="431"/>
      <c r="S7" s="431"/>
      <c r="T7" s="431"/>
      <c r="U7" s="431"/>
      <c r="V7" s="431"/>
      <c r="W7" s="431"/>
      <c r="X7" s="431"/>
      <c r="Y7" s="431"/>
      <c r="Z7" s="431"/>
      <c r="AA7" s="431"/>
      <c r="AB7" s="431"/>
      <c r="AC7" s="431"/>
      <c r="AD7" s="431"/>
      <c r="AE7" s="431"/>
      <c r="AF7" s="431"/>
      <c r="AG7" s="431"/>
      <c r="AH7" s="431"/>
      <c r="AI7" s="431"/>
      <c r="AJ7" s="431"/>
      <c r="AK7" s="431"/>
      <c r="AL7" s="431"/>
      <c r="AM7" s="431"/>
      <c r="AN7" s="431"/>
      <c r="AO7" s="431"/>
      <c r="AP7" s="431"/>
      <c r="AQ7" s="431"/>
      <c r="AR7" s="431"/>
      <c r="AS7" s="431"/>
      <c r="AT7" s="431"/>
      <c r="AU7" s="431"/>
      <c r="AV7" s="431"/>
      <c r="AW7" s="431"/>
      <c r="AX7" s="431"/>
      <c r="AY7" s="431"/>
      <c r="AZ7" s="431"/>
      <c r="BA7" s="431"/>
      <c r="BB7" s="431"/>
      <c r="BC7" s="431"/>
      <c r="BD7" s="431"/>
      <c r="BE7" s="431"/>
      <c r="BF7" s="431"/>
      <c r="BG7" s="431"/>
      <c r="BH7" s="431"/>
      <c r="BI7" s="431"/>
      <c r="BJ7" s="431"/>
      <c r="BK7" s="431"/>
      <c r="BL7" s="431"/>
      <c r="BM7" s="431"/>
      <c r="BN7" s="431"/>
      <c r="BO7" s="431"/>
      <c r="BP7" s="431"/>
      <c r="BQ7" s="431"/>
      <c r="BR7" s="431"/>
      <c r="BS7" s="431"/>
      <c r="BT7" s="431"/>
      <c r="BU7" s="431"/>
      <c r="BV7" s="431"/>
      <c r="BW7" s="431"/>
      <c r="BX7" s="431"/>
      <c r="BY7" s="431"/>
      <c r="BZ7" s="431"/>
      <c r="CA7" s="431"/>
      <c r="CB7" s="431"/>
      <c r="CC7" s="431"/>
      <c r="CD7" s="431"/>
      <c r="CE7" s="431"/>
      <c r="CF7" s="431"/>
      <c r="CG7" s="431"/>
      <c r="CH7" s="431"/>
      <c r="CI7" s="431"/>
      <c r="CJ7" s="431"/>
      <c r="CK7" s="431"/>
      <c r="CL7" s="431"/>
      <c r="CM7" s="431"/>
      <c r="CN7" s="431"/>
      <c r="CO7" s="431"/>
      <c r="CP7" s="431"/>
      <c r="CQ7" s="431"/>
      <c r="CR7" s="431"/>
      <c r="CS7" s="431"/>
      <c r="CT7" s="431"/>
      <c r="CU7" s="431"/>
      <c r="CV7" s="431"/>
      <c r="CW7" s="431"/>
      <c r="CX7" s="431"/>
      <c r="CY7" s="431"/>
      <c r="CZ7" s="431"/>
      <c r="DA7" s="431"/>
      <c r="DB7" s="431"/>
      <c r="DC7" s="431"/>
      <c r="DD7" s="431"/>
      <c r="DE7" s="431"/>
      <c r="DF7" s="431"/>
      <c r="DG7" s="431"/>
      <c r="DH7" s="431"/>
      <c r="DI7" s="431"/>
      <c r="DJ7" s="431"/>
      <c r="DK7" s="431"/>
      <c r="DL7" s="431"/>
      <c r="DM7" s="431"/>
      <c r="DN7" s="431"/>
      <c r="DO7" s="431"/>
      <c r="DP7" s="431"/>
      <c r="DQ7" s="431"/>
      <c r="DR7" s="431"/>
      <c r="DS7" s="431"/>
      <c r="DT7" s="431"/>
      <c r="DU7" s="431"/>
      <c r="DV7" s="431"/>
      <c r="DW7" s="431"/>
      <c r="DX7" s="431"/>
      <c r="DY7" s="431"/>
      <c r="DZ7" s="431"/>
      <c r="EA7" s="431"/>
      <c r="EB7" s="431"/>
      <c r="EC7" s="431"/>
      <c r="ED7" s="431"/>
      <c r="EE7" s="431"/>
      <c r="EF7" s="431"/>
      <c r="EG7" s="431"/>
      <c r="EH7" s="431"/>
      <c r="EI7" s="431"/>
      <c r="EJ7" s="431"/>
      <c r="EK7" s="431"/>
      <c r="EL7" s="431"/>
      <c r="EM7" s="431"/>
      <c r="EN7" s="431"/>
      <c r="EO7" s="431"/>
      <c r="EP7" s="431"/>
      <c r="EQ7" s="431"/>
      <c r="ER7" s="431"/>
      <c r="ES7" s="431"/>
      <c r="ET7" s="431"/>
      <c r="EU7" s="431"/>
      <c r="EV7" s="431"/>
      <c r="EW7" s="431"/>
      <c r="EX7" s="431"/>
      <c r="EY7" s="431"/>
      <c r="EZ7" s="431"/>
      <c r="FA7" s="431"/>
      <c r="FB7" s="431"/>
      <c r="FC7" s="431"/>
      <c r="FD7" s="431"/>
      <c r="FE7" s="431"/>
      <c r="FF7" s="431"/>
      <c r="FG7" s="431"/>
      <c r="FH7" s="431"/>
      <c r="FI7" s="431"/>
      <c r="FJ7" s="431"/>
      <c r="FK7" s="431"/>
      <c r="FL7" s="431"/>
      <c r="FM7" s="431"/>
      <c r="FN7" s="431"/>
      <c r="FO7" s="431"/>
      <c r="FP7" s="431"/>
      <c r="FQ7" s="469">
        <v>741275.74</v>
      </c>
      <c r="FR7" s="431"/>
      <c r="FS7" s="431"/>
      <c r="FT7" s="431"/>
      <c r="FU7" s="431"/>
      <c r="FV7" s="431"/>
      <c r="FW7" s="431"/>
      <c r="FX7" s="431"/>
      <c r="FY7" s="431"/>
      <c r="FZ7" s="431"/>
      <c r="GA7" s="431"/>
      <c r="GB7" s="431"/>
      <c r="GC7" s="431"/>
      <c r="GD7" s="431"/>
      <c r="GE7" s="431"/>
      <c r="GF7" s="431"/>
      <c r="GG7" s="431"/>
      <c r="GH7" s="431"/>
      <c r="GI7" s="431"/>
      <c r="GJ7" s="431"/>
      <c r="GK7" s="431"/>
      <c r="GL7" s="431"/>
      <c r="GM7" s="431"/>
      <c r="GN7" s="431"/>
      <c r="GO7" s="431"/>
      <c r="GP7" s="431"/>
      <c r="GQ7" s="431"/>
      <c r="GR7" s="431"/>
      <c r="GS7" s="431"/>
      <c r="GT7" s="431"/>
      <c r="GU7" s="431"/>
      <c r="GV7" s="431"/>
      <c r="GW7" s="431"/>
      <c r="GX7" s="431"/>
      <c r="GY7" s="431"/>
      <c r="GZ7" s="431"/>
      <c r="HA7" s="431"/>
      <c r="HB7" s="431"/>
      <c r="HC7" s="431"/>
      <c r="HD7" s="431"/>
      <c r="HE7" s="431"/>
      <c r="HF7" s="431"/>
      <c r="HG7" s="431"/>
      <c r="HH7" s="431"/>
      <c r="HI7" s="431"/>
      <c r="HJ7" s="431"/>
      <c r="HK7" s="431"/>
      <c r="HL7" s="431"/>
      <c r="HM7" s="431"/>
      <c r="HN7" s="431"/>
      <c r="HO7" s="431"/>
      <c r="HP7" s="431"/>
      <c r="HQ7" s="431"/>
      <c r="HR7" s="431"/>
      <c r="HS7" s="431"/>
      <c r="HT7" s="431"/>
      <c r="HU7" s="431"/>
      <c r="HW7" s="483" t="s">
        <v>76</v>
      </c>
      <c r="HX7" s="484"/>
      <c r="HY7" s="484"/>
      <c r="HZ7" s="484"/>
      <c r="IA7" s="484"/>
      <c r="IB7" s="485"/>
      <c r="IF7" s="383" t="s">
        <v>21</v>
      </c>
      <c r="IG7" s="383" t="s">
        <v>21</v>
      </c>
      <c r="IH7" s="383" t="s">
        <v>21</v>
      </c>
    </row>
    <row r="8" spans="1:242" s="432" customFormat="1" ht="15" customHeight="1" x14ac:dyDescent="0.25">
      <c r="A8" s="432" t="s">
        <v>350</v>
      </c>
      <c r="B8" s="431">
        <v>117449</v>
      </c>
      <c r="C8" s="431">
        <v>94826</v>
      </c>
      <c r="D8" s="431">
        <v>130399</v>
      </c>
      <c r="E8" s="431">
        <v>103618</v>
      </c>
      <c r="F8" s="431">
        <v>87871</v>
      </c>
      <c r="G8" s="431">
        <v>90793</v>
      </c>
      <c r="H8" s="431">
        <v>81980</v>
      </c>
      <c r="I8" s="431">
        <v>79674</v>
      </c>
      <c r="J8" s="431">
        <v>63637</v>
      </c>
      <c r="K8" s="431">
        <v>73475</v>
      </c>
      <c r="L8" s="431">
        <v>65353</v>
      </c>
      <c r="M8" s="431">
        <v>76301</v>
      </c>
      <c r="N8" s="431">
        <v>68941</v>
      </c>
      <c r="O8" s="431">
        <v>93374</v>
      </c>
      <c r="P8" s="431">
        <v>88458</v>
      </c>
      <c r="Q8" s="431">
        <v>79100</v>
      </c>
      <c r="R8" s="431">
        <v>95887</v>
      </c>
      <c r="S8" s="431">
        <v>87321</v>
      </c>
      <c r="T8" s="431">
        <v>82016</v>
      </c>
      <c r="U8" s="431">
        <v>55689</v>
      </c>
      <c r="V8" s="431">
        <v>68918</v>
      </c>
      <c r="W8" s="431">
        <v>61843</v>
      </c>
      <c r="X8" s="431">
        <v>92098</v>
      </c>
      <c r="Y8" s="431">
        <v>52366</v>
      </c>
      <c r="Z8" s="431">
        <v>43140</v>
      </c>
      <c r="AA8" s="431">
        <v>62526</v>
      </c>
      <c r="AB8" s="431">
        <v>80625</v>
      </c>
      <c r="AC8" s="431">
        <v>70512</v>
      </c>
      <c r="AD8" s="431">
        <f>(AC8+AE8)/2</f>
        <v>84461</v>
      </c>
      <c r="AE8" s="431">
        <v>98410</v>
      </c>
      <c r="AF8" s="431">
        <v>91476</v>
      </c>
      <c r="AG8" s="431">
        <v>106880</v>
      </c>
      <c r="AH8" s="431">
        <v>98014</v>
      </c>
      <c r="AI8" s="431">
        <v>92400</v>
      </c>
      <c r="AJ8" s="431">
        <v>130881</v>
      </c>
      <c r="AK8" s="431">
        <v>113067</v>
      </c>
      <c r="AL8" s="431">
        <v>107915</v>
      </c>
      <c r="AM8" s="431">
        <v>148343</v>
      </c>
      <c r="AN8" s="431">
        <v>78489</v>
      </c>
      <c r="AO8" s="431">
        <v>70466</v>
      </c>
      <c r="AP8" s="431">
        <v>97704</v>
      </c>
      <c r="AQ8" s="431">
        <v>80445</v>
      </c>
      <c r="AR8" s="431">
        <v>64361</v>
      </c>
      <c r="AS8" s="431">
        <v>82051</v>
      </c>
      <c r="AT8" s="431">
        <v>65290</v>
      </c>
      <c r="AU8" s="431">
        <v>51435</v>
      </c>
      <c r="AV8" s="431">
        <v>81519</v>
      </c>
      <c r="AW8" s="431">
        <v>93964</v>
      </c>
      <c r="AX8" s="431">
        <v>79458</v>
      </c>
      <c r="AY8" s="431">
        <v>95556</v>
      </c>
      <c r="AZ8" s="431">
        <v>87635</v>
      </c>
      <c r="BA8" s="431">
        <v>72409</v>
      </c>
      <c r="BB8" s="431">
        <v>87214</v>
      </c>
      <c r="BC8" s="431">
        <v>92367</v>
      </c>
      <c r="BD8" s="431">
        <v>85681</v>
      </c>
      <c r="BE8" s="431">
        <v>98874</v>
      </c>
      <c r="BF8" s="431">
        <v>102320</v>
      </c>
      <c r="BG8" s="431">
        <v>75487</v>
      </c>
      <c r="BH8" s="431">
        <v>140401</v>
      </c>
      <c r="BI8" s="431">
        <v>124698</v>
      </c>
      <c r="BJ8" s="431">
        <v>100979</v>
      </c>
      <c r="BK8" s="431">
        <v>154092</v>
      </c>
      <c r="BL8" s="431">
        <v>131087</v>
      </c>
      <c r="BM8" s="431">
        <v>115706</v>
      </c>
      <c r="BN8" s="431">
        <v>144268</v>
      </c>
      <c r="BO8" s="431">
        <v>146439</v>
      </c>
      <c r="BP8" s="431">
        <v>81752</v>
      </c>
      <c r="BQ8" s="431">
        <v>107366</v>
      </c>
      <c r="BR8" s="431">
        <v>99600</v>
      </c>
      <c r="BS8" s="431">
        <v>87899</v>
      </c>
      <c r="BT8" s="431">
        <v>103074</v>
      </c>
      <c r="BU8" s="431">
        <v>173410</v>
      </c>
      <c r="BV8" s="431">
        <v>146867</v>
      </c>
      <c r="BW8" s="431">
        <v>256092</v>
      </c>
      <c r="BX8" s="431">
        <v>231228</v>
      </c>
      <c r="BY8" s="431">
        <v>215620</v>
      </c>
      <c r="BZ8" s="431">
        <v>233048</v>
      </c>
      <c r="CA8" s="431">
        <v>195805</v>
      </c>
      <c r="CB8" s="431">
        <v>165029</v>
      </c>
      <c r="CC8" s="431">
        <v>180844</v>
      </c>
      <c r="CD8" s="431">
        <v>162781</v>
      </c>
      <c r="CE8" s="431">
        <v>152951</v>
      </c>
      <c r="CF8" s="431">
        <v>205706</v>
      </c>
      <c r="CG8" s="431">
        <v>181470</v>
      </c>
      <c r="CH8" s="431">
        <v>154795</v>
      </c>
      <c r="CI8" s="431">
        <v>222212</v>
      </c>
      <c r="CJ8" s="431">
        <v>183249</v>
      </c>
      <c r="CK8" s="431">
        <v>152786</v>
      </c>
      <c r="CL8" s="431">
        <v>164841</v>
      </c>
      <c r="CM8" s="431">
        <v>157202</v>
      </c>
      <c r="CN8" s="431">
        <v>143804</v>
      </c>
      <c r="CO8" s="431">
        <v>128819</v>
      </c>
      <c r="CP8" s="431">
        <v>119759</v>
      </c>
      <c r="CQ8" s="431">
        <v>108772</v>
      </c>
      <c r="CR8" s="431">
        <v>128233</v>
      </c>
      <c r="CS8" s="431">
        <v>112168</v>
      </c>
      <c r="CT8" s="431">
        <v>109505.48</v>
      </c>
      <c r="CU8" s="431">
        <v>125254</v>
      </c>
      <c r="CV8" s="431">
        <v>118532</v>
      </c>
      <c r="CW8" s="431">
        <v>107998</v>
      </c>
      <c r="CX8" s="431">
        <v>139811</v>
      </c>
      <c r="CY8" s="431">
        <v>124278</v>
      </c>
      <c r="CZ8" s="431">
        <v>115952</v>
      </c>
      <c r="DA8" s="431">
        <v>108625</v>
      </c>
      <c r="DB8" s="431">
        <v>83783</v>
      </c>
      <c r="DC8" s="431">
        <v>76253</v>
      </c>
      <c r="DD8" s="431">
        <v>83300</v>
      </c>
      <c r="DE8" s="431">
        <v>99257.19</v>
      </c>
      <c r="DF8" s="431">
        <v>92972</v>
      </c>
      <c r="DG8" s="431">
        <v>96837</v>
      </c>
      <c r="DH8" s="431">
        <v>115124</v>
      </c>
      <c r="DI8" s="431">
        <v>107456</v>
      </c>
      <c r="DJ8" s="431">
        <v>131995</v>
      </c>
      <c r="DK8" s="431">
        <v>121292</v>
      </c>
      <c r="DL8" s="431">
        <v>113018.88</v>
      </c>
      <c r="DM8" s="431">
        <v>130193.38</v>
      </c>
      <c r="DN8" s="431">
        <v>114694.06</v>
      </c>
      <c r="DO8" s="431">
        <v>100372.22</v>
      </c>
      <c r="DP8" s="431">
        <v>138466.62</v>
      </c>
      <c r="DQ8" s="431">
        <v>103375.46</v>
      </c>
      <c r="DR8" s="431">
        <v>95210.02</v>
      </c>
      <c r="DS8" s="431">
        <v>122954.81</v>
      </c>
      <c r="DT8" s="431">
        <v>119897</v>
      </c>
      <c r="DU8" s="431">
        <v>120472</v>
      </c>
      <c r="DV8" s="431">
        <v>127198.97</v>
      </c>
      <c r="DW8" s="431">
        <v>122480.19</v>
      </c>
      <c r="DX8" s="431">
        <v>111608.66</v>
      </c>
      <c r="DY8" s="431">
        <v>118602.51</v>
      </c>
      <c r="DZ8" s="431">
        <v>118595.83</v>
      </c>
      <c r="EA8" s="431">
        <v>114557.01</v>
      </c>
      <c r="EB8" s="431">
        <v>136706.71</v>
      </c>
      <c r="EC8" s="431">
        <v>138531.93</v>
      </c>
      <c r="ED8" s="431">
        <v>135032.06</v>
      </c>
      <c r="EE8" s="431">
        <v>150045.29</v>
      </c>
      <c r="EF8" s="431">
        <v>140731.54999999999</v>
      </c>
      <c r="EG8" s="431">
        <v>126269.56</v>
      </c>
      <c r="EH8" s="431">
        <v>150416.81</v>
      </c>
      <c r="EI8" s="431">
        <v>129793.16</v>
      </c>
      <c r="EJ8" s="431">
        <v>124518.94</v>
      </c>
      <c r="EK8" s="431">
        <v>148981.31</v>
      </c>
      <c r="EL8" s="431">
        <v>141124.66</v>
      </c>
      <c r="EM8" s="431">
        <v>135610.15</v>
      </c>
      <c r="EN8" s="431">
        <v>166668.76999999999</v>
      </c>
      <c r="EO8" s="431">
        <v>161659.85999999999</v>
      </c>
      <c r="EP8" s="431">
        <v>134123.95000000001</v>
      </c>
      <c r="EQ8" s="431">
        <v>163870.29999999999</v>
      </c>
      <c r="ER8" s="431">
        <v>114916.13</v>
      </c>
      <c r="ES8" s="431">
        <v>97018.9</v>
      </c>
      <c r="ET8" s="431">
        <v>96734.58</v>
      </c>
      <c r="EU8" s="431">
        <v>66386.710000000006</v>
      </c>
      <c r="EV8" s="431">
        <v>56882.28</v>
      </c>
      <c r="EW8" s="431">
        <v>58083.4</v>
      </c>
      <c r="EX8" s="431">
        <v>59177.17</v>
      </c>
      <c r="EY8" s="431">
        <v>49583.96</v>
      </c>
      <c r="EZ8" s="431">
        <v>56754.86</v>
      </c>
      <c r="FA8" s="431">
        <v>57029.65</v>
      </c>
      <c r="FB8" s="431">
        <v>51275.15</v>
      </c>
      <c r="FC8" s="431">
        <v>64332.94</v>
      </c>
      <c r="FD8" s="431">
        <v>61625.65</v>
      </c>
      <c r="FE8" s="431">
        <v>59007.96</v>
      </c>
      <c r="FF8" s="431">
        <v>66635.520000000004</v>
      </c>
      <c r="FG8" s="431">
        <v>63432.03</v>
      </c>
      <c r="FH8" s="431">
        <v>55962.39</v>
      </c>
      <c r="FI8" s="431">
        <v>58553.31</v>
      </c>
      <c r="FJ8" s="431">
        <v>61904.51</v>
      </c>
      <c r="FK8" s="431">
        <v>62078.18</v>
      </c>
      <c r="FL8" s="431">
        <v>71986.789999999994</v>
      </c>
      <c r="FM8" s="431">
        <v>84998.31</v>
      </c>
      <c r="FN8" s="431">
        <v>90475.41</v>
      </c>
      <c r="FO8" s="431">
        <v>97472.49</v>
      </c>
      <c r="FP8" s="431">
        <v>111129.70000000001</v>
      </c>
      <c r="FQ8" s="431">
        <v>115058.81</v>
      </c>
      <c r="FR8" s="431">
        <v>121734.2</v>
      </c>
      <c r="FS8" s="431">
        <v>134870.93</v>
      </c>
      <c r="FT8" s="431">
        <v>136795.54999999999</v>
      </c>
      <c r="FU8" s="431">
        <v>61217.03</v>
      </c>
      <c r="FV8" s="431">
        <v>66247</v>
      </c>
      <c r="FW8" s="431">
        <v>55965.03</v>
      </c>
      <c r="FX8" s="431">
        <v>70833.350000000006</v>
      </c>
      <c r="FY8" s="431">
        <v>70032.320000000007</v>
      </c>
      <c r="FZ8" s="431">
        <v>65159.17</v>
      </c>
      <c r="GA8" s="431">
        <v>82202</v>
      </c>
      <c r="GB8" s="431">
        <v>73144.489999999991</v>
      </c>
      <c r="GC8" s="431">
        <v>71982.28</v>
      </c>
      <c r="GD8" s="431">
        <v>76871.740000000005</v>
      </c>
      <c r="GE8" s="431">
        <v>68846.31</v>
      </c>
      <c r="GF8" s="431">
        <v>58644.3</v>
      </c>
      <c r="GG8" s="431">
        <v>60233.43</v>
      </c>
      <c r="GH8" s="431">
        <v>38653.35</v>
      </c>
      <c r="GI8" s="431">
        <v>37999.449999999997</v>
      </c>
      <c r="GJ8" s="431">
        <v>41006.949999999997</v>
      </c>
      <c r="GK8" s="431">
        <v>40308.26</v>
      </c>
      <c r="GL8" s="431">
        <v>39096.080000000002</v>
      </c>
      <c r="GM8" s="431">
        <v>81086.06</v>
      </c>
      <c r="GN8" s="431">
        <v>81654.23000000001</v>
      </c>
      <c r="GO8" s="431">
        <v>73016.12000000001</v>
      </c>
      <c r="GP8" s="431">
        <v>81567.61</v>
      </c>
      <c r="GQ8" s="431">
        <v>67989.929999999993</v>
      </c>
      <c r="GR8" s="431">
        <v>54284.490000000005</v>
      </c>
      <c r="GS8" s="431">
        <v>59473.430000000008</v>
      </c>
      <c r="GT8" s="431">
        <v>77777.88</v>
      </c>
      <c r="GU8" s="431">
        <v>79416.820000000007</v>
      </c>
      <c r="GV8" s="431">
        <v>88905.63</v>
      </c>
      <c r="GW8" s="431">
        <v>82785.39</v>
      </c>
      <c r="GX8" s="431">
        <v>71037</v>
      </c>
      <c r="GY8" s="431">
        <v>82001.39</v>
      </c>
      <c r="GZ8" s="431">
        <v>78049.5</v>
      </c>
      <c r="HA8" s="431">
        <v>71211.240000000005</v>
      </c>
      <c r="HB8" s="431">
        <v>94333.41</v>
      </c>
      <c r="HC8" s="431">
        <v>94889.58</v>
      </c>
      <c r="HD8" s="431">
        <v>81624.759999999995</v>
      </c>
      <c r="HE8" s="431">
        <v>87367.23</v>
      </c>
      <c r="HF8" s="431">
        <v>88456.66</v>
      </c>
      <c r="HG8" s="431">
        <v>83533.989999999991</v>
      </c>
      <c r="HH8" s="431">
        <v>135947.99</v>
      </c>
      <c r="HI8" s="431">
        <v>132074</v>
      </c>
      <c r="HJ8" s="431"/>
      <c r="HK8" s="431"/>
      <c r="HL8" s="431"/>
      <c r="HM8" s="431"/>
      <c r="HN8" s="431"/>
      <c r="HO8" s="431"/>
      <c r="HP8" s="431"/>
      <c r="HQ8" s="431"/>
      <c r="HR8" s="431"/>
      <c r="HS8" s="431"/>
      <c r="HT8" s="431"/>
      <c r="HU8" s="431"/>
      <c r="IF8" s="432" t="s">
        <v>21</v>
      </c>
      <c r="IH8" s="432" t="s">
        <v>21</v>
      </c>
    </row>
    <row r="9" spans="1:242" s="432" customFormat="1" ht="15" customHeight="1" thickBot="1" x14ac:dyDescent="0.3">
      <c r="A9" s="385"/>
      <c r="B9" s="383"/>
      <c r="C9" s="383"/>
      <c r="D9" s="383"/>
      <c r="E9" s="383"/>
      <c r="F9" s="383"/>
      <c r="G9" s="383"/>
      <c r="H9" s="383"/>
      <c r="I9" s="383"/>
      <c r="J9" s="383"/>
      <c r="K9" s="383"/>
      <c r="L9" s="383"/>
      <c r="M9" s="386"/>
      <c r="N9" s="386"/>
      <c r="O9" s="386"/>
      <c r="P9" s="386"/>
      <c r="Q9" s="386"/>
      <c r="R9" s="386"/>
      <c r="S9" s="386"/>
      <c r="T9" s="386"/>
      <c r="U9" s="386"/>
      <c r="V9" s="386"/>
      <c r="W9" s="386"/>
      <c r="X9" s="386"/>
      <c r="Y9" s="386"/>
      <c r="Z9" s="386"/>
      <c r="AA9" s="386"/>
      <c r="AB9" s="386"/>
      <c r="AC9" s="386"/>
      <c r="AD9" s="386"/>
      <c r="AE9" s="386"/>
      <c r="AF9" s="386"/>
      <c r="AG9" s="386"/>
      <c r="AH9" s="386"/>
      <c r="AI9" s="386"/>
      <c r="AJ9" s="386"/>
      <c r="AK9" s="386"/>
      <c r="AL9" s="386"/>
      <c r="AM9" s="386"/>
      <c r="AN9" s="386"/>
      <c r="AO9" s="386"/>
      <c r="AP9" s="386"/>
      <c r="AQ9" s="386"/>
      <c r="AR9" s="386"/>
      <c r="AS9" s="386"/>
      <c r="AT9" s="386"/>
      <c r="AU9" s="386"/>
      <c r="AV9" s="386"/>
      <c r="AW9" s="386"/>
      <c r="AX9" s="386"/>
      <c r="AY9" s="386"/>
      <c r="AZ9" s="386"/>
      <c r="BA9" s="386"/>
      <c r="BB9" s="386"/>
      <c r="BC9" s="386"/>
      <c r="BD9" s="386"/>
      <c r="BE9" s="386"/>
      <c r="BF9" s="386"/>
      <c r="BG9" s="386"/>
      <c r="BH9" s="386"/>
      <c r="BI9" s="386"/>
      <c r="BJ9" s="386"/>
      <c r="BK9" s="386"/>
      <c r="BL9" s="386"/>
      <c r="BM9" s="386"/>
      <c r="BN9" s="386"/>
      <c r="BO9" s="386"/>
      <c r="BP9" s="386"/>
      <c r="BQ9" s="386"/>
      <c r="BR9" s="386"/>
      <c r="BS9" s="386"/>
      <c r="BT9" s="386"/>
      <c r="BU9" s="386"/>
      <c r="BV9" s="386"/>
      <c r="BW9" s="386"/>
      <c r="BX9" s="386"/>
      <c r="BY9" s="386"/>
      <c r="BZ9" s="386"/>
      <c r="CA9" s="386"/>
      <c r="CB9" s="386"/>
      <c r="CC9" s="386"/>
      <c r="CD9" s="386"/>
      <c r="CE9" s="386"/>
      <c r="CF9" s="386"/>
      <c r="CG9" s="386"/>
      <c r="CH9" s="386"/>
      <c r="CI9" s="386"/>
      <c r="CJ9" s="386"/>
      <c r="CK9" s="386"/>
      <c r="CL9" s="386"/>
      <c r="CM9" s="386"/>
      <c r="CN9" s="386"/>
      <c r="CO9" s="386"/>
      <c r="CP9" s="386"/>
      <c r="CQ9" s="386"/>
      <c r="CR9" s="386"/>
      <c r="CS9" s="386"/>
      <c r="CT9" s="386"/>
      <c r="CU9" s="386"/>
      <c r="CV9" s="386"/>
      <c r="CW9" s="386"/>
      <c r="CX9" s="386"/>
      <c r="CY9" s="386"/>
      <c r="CZ9" s="386"/>
      <c r="DA9" s="386"/>
      <c r="DB9" s="386"/>
      <c r="DC9" s="386"/>
      <c r="DD9" s="386"/>
      <c r="DE9" s="386"/>
      <c r="DF9" s="386"/>
      <c r="DG9" s="386"/>
      <c r="DH9" s="386"/>
      <c r="DI9" s="386"/>
      <c r="DJ9" s="386"/>
      <c r="DK9" s="386"/>
      <c r="DL9" s="431"/>
      <c r="DM9" s="431"/>
      <c r="DN9" s="431"/>
      <c r="DO9" s="431"/>
      <c r="DP9" s="431"/>
      <c r="DQ9" s="431"/>
      <c r="DR9" s="431"/>
      <c r="DS9" s="431"/>
      <c r="DT9" s="431"/>
      <c r="DU9" s="431"/>
      <c r="DV9" s="431"/>
      <c r="DW9" s="431"/>
      <c r="DX9" s="431"/>
      <c r="DY9" s="431"/>
      <c r="DZ9" s="431"/>
      <c r="EA9" s="431"/>
      <c r="EB9" s="431"/>
      <c r="EC9" s="431"/>
      <c r="ED9" s="431"/>
      <c r="EE9" s="431"/>
      <c r="EF9" s="431"/>
      <c r="EG9" s="431"/>
      <c r="EH9" s="431"/>
      <c r="EI9" s="431"/>
      <c r="EJ9" s="431"/>
      <c r="EK9" s="431"/>
      <c r="EL9" s="431"/>
      <c r="EM9" s="431"/>
      <c r="EN9" s="431"/>
      <c r="EO9" s="431"/>
      <c r="EP9" s="431"/>
      <c r="EQ9" s="431"/>
      <c r="ER9" s="431"/>
      <c r="ES9" s="431"/>
      <c r="ET9" s="431"/>
      <c r="EU9" s="431"/>
      <c r="EV9" s="431"/>
      <c r="EW9" s="431"/>
      <c r="EX9" s="431"/>
      <c r="EY9" s="431"/>
      <c r="EZ9" s="431"/>
      <c r="FA9" s="431"/>
      <c r="FB9" s="431"/>
      <c r="FC9" s="431"/>
      <c r="FD9" s="431"/>
      <c r="FE9" s="431"/>
      <c r="FF9" s="431"/>
      <c r="FG9" s="431"/>
      <c r="FH9" s="431"/>
      <c r="FI9" s="431"/>
      <c r="FJ9" s="431"/>
      <c r="FK9" s="431"/>
      <c r="FL9" s="431"/>
      <c r="FM9" s="431"/>
      <c r="FN9" s="431"/>
      <c r="FO9" s="431"/>
      <c r="FP9" s="431"/>
      <c r="FQ9" s="431"/>
      <c r="FR9" s="431"/>
      <c r="FS9" s="431"/>
      <c r="FT9" s="431"/>
      <c r="FU9" s="431"/>
      <c r="FV9" s="431"/>
      <c r="FW9" s="431"/>
      <c r="FX9" s="431"/>
      <c r="FY9" s="431"/>
      <c r="FZ9" s="431"/>
      <c r="GA9" s="431"/>
      <c r="GB9" s="431"/>
      <c r="GC9" s="431"/>
      <c r="GD9" s="431"/>
      <c r="GE9" s="431"/>
      <c r="GF9" s="431"/>
      <c r="GG9" s="431"/>
      <c r="GH9" s="431"/>
      <c r="GI9" s="431"/>
      <c r="GJ9" s="431"/>
      <c r="GK9" s="431"/>
      <c r="GL9" s="431"/>
      <c r="GM9" s="431"/>
      <c r="GN9" s="431"/>
      <c r="GO9" s="431"/>
      <c r="GP9" s="431"/>
      <c r="GQ9" s="431"/>
      <c r="GR9" s="431"/>
      <c r="GS9" s="431"/>
      <c r="GT9" s="431"/>
      <c r="GU9" s="431"/>
      <c r="GV9" s="431"/>
      <c r="GW9" s="431"/>
      <c r="GX9" s="431"/>
      <c r="GY9" s="431"/>
      <c r="GZ9" s="431"/>
      <c r="HA9" s="431"/>
      <c r="HB9" s="431"/>
      <c r="HC9" s="431"/>
      <c r="HD9" s="431"/>
      <c r="HE9" s="431"/>
      <c r="HF9" s="431"/>
      <c r="HG9" s="431"/>
      <c r="HH9" s="431"/>
      <c r="HI9" s="431"/>
      <c r="HJ9" s="431"/>
      <c r="HK9" s="431"/>
      <c r="HL9" s="431"/>
      <c r="HM9" s="431"/>
      <c r="HN9" s="431"/>
      <c r="HO9" s="431"/>
      <c r="HP9" s="431"/>
      <c r="HQ9" s="431"/>
      <c r="HR9" s="431"/>
      <c r="HS9" s="431"/>
      <c r="HT9" s="431"/>
      <c r="HU9" s="431"/>
      <c r="IC9" s="383"/>
      <c r="ID9" s="383"/>
      <c r="IE9" s="383"/>
      <c r="IF9" s="383" t="s">
        <v>21</v>
      </c>
      <c r="IG9" s="383"/>
    </row>
    <row r="10" spans="1:242" ht="15" customHeight="1" thickBot="1" x14ac:dyDescent="0.3">
      <c r="C10" s="387"/>
      <c r="D10" s="387"/>
      <c r="G10" s="387"/>
      <c r="CB10" s="379"/>
      <c r="CC10" s="379"/>
      <c r="CD10" s="379"/>
      <c r="CE10" s="379"/>
      <c r="CF10" s="379"/>
      <c r="CG10" s="379"/>
      <c r="CH10" s="379"/>
      <c r="CI10" s="379"/>
      <c r="CJ10" s="379"/>
      <c r="CK10" s="379"/>
      <c r="CL10" s="379"/>
      <c r="CN10" s="379">
        <v>42005</v>
      </c>
      <c r="CO10" s="379">
        <v>42036</v>
      </c>
      <c r="CP10" s="379">
        <v>42064</v>
      </c>
      <c r="CQ10" s="379">
        <v>42095</v>
      </c>
      <c r="CR10" s="379">
        <v>42125</v>
      </c>
      <c r="CS10" s="379">
        <v>42156</v>
      </c>
      <c r="CT10" s="379">
        <v>42186</v>
      </c>
      <c r="CU10" s="379">
        <v>42217</v>
      </c>
      <c r="CV10" s="379">
        <v>42248</v>
      </c>
      <c r="CW10" s="379">
        <v>42278</v>
      </c>
      <c r="CX10" s="379">
        <v>42309</v>
      </c>
      <c r="CY10" s="379">
        <v>42339</v>
      </c>
      <c r="CZ10" s="379">
        <v>42370</v>
      </c>
      <c r="DA10" s="379">
        <v>42401</v>
      </c>
      <c r="DB10" s="379">
        <v>42430</v>
      </c>
      <c r="DC10" s="379">
        <v>42461</v>
      </c>
      <c r="DD10" s="379">
        <v>42491</v>
      </c>
      <c r="DE10" s="379">
        <v>42522</v>
      </c>
      <c r="DF10" s="379">
        <v>42552</v>
      </c>
      <c r="DG10" s="379">
        <v>42583</v>
      </c>
      <c r="DH10" s="379">
        <v>42614</v>
      </c>
      <c r="DI10" s="379">
        <v>42644</v>
      </c>
      <c r="DJ10" s="379">
        <v>42675</v>
      </c>
      <c r="DK10" s="379">
        <v>42705</v>
      </c>
      <c r="DL10" s="379">
        <v>42736</v>
      </c>
      <c r="DM10" s="379">
        <v>42767</v>
      </c>
      <c r="DN10" s="379">
        <v>42795</v>
      </c>
      <c r="DO10" s="379">
        <v>42826</v>
      </c>
      <c r="DP10" s="379">
        <v>42856</v>
      </c>
      <c r="DQ10" s="379">
        <v>42887</v>
      </c>
      <c r="DR10" s="379">
        <f t="shared" ref="DR10:FA10" si="58">DR1</f>
        <v>42917</v>
      </c>
      <c r="DS10" s="379">
        <f t="shared" si="58"/>
        <v>42948</v>
      </c>
      <c r="DT10" s="379">
        <f t="shared" si="58"/>
        <v>42979</v>
      </c>
      <c r="DU10" s="379">
        <f t="shared" si="58"/>
        <v>43009</v>
      </c>
      <c r="DV10" s="379">
        <f t="shared" si="58"/>
        <v>43040</v>
      </c>
      <c r="DW10" s="379">
        <f t="shared" si="58"/>
        <v>43070</v>
      </c>
      <c r="DX10" s="379">
        <f t="shared" si="58"/>
        <v>43101</v>
      </c>
      <c r="DY10" s="379">
        <f t="shared" si="58"/>
        <v>43132</v>
      </c>
      <c r="DZ10" s="379">
        <f t="shared" si="58"/>
        <v>43160</v>
      </c>
      <c r="EA10" s="379">
        <f t="shared" si="58"/>
        <v>43191</v>
      </c>
      <c r="EB10" s="379">
        <f t="shared" si="58"/>
        <v>43221</v>
      </c>
      <c r="EC10" s="379">
        <f t="shared" si="58"/>
        <v>43252</v>
      </c>
      <c r="ED10" s="379">
        <f t="shared" si="58"/>
        <v>43282</v>
      </c>
      <c r="EE10" s="379">
        <f t="shared" si="58"/>
        <v>43313</v>
      </c>
      <c r="EF10" s="379">
        <f t="shared" si="58"/>
        <v>43344</v>
      </c>
      <c r="EG10" s="379">
        <f t="shared" si="58"/>
        <v>43374</v>
      </c>
      <c r="EH10" s="379">
        <f t="shared" si="58"/>
        <v>43405</v>
      </c>
      <c r="EI10" s="379">
        <f t="shared" si="58"/>
        <v>43435</v>
      </c>
      <c r="EJ10" s="379">
        <f t="shared" si="58"/>
        <v>43466</v>
      </c>
      <c r="EK10" s="379">
        <f t="shared" si="58"/>
        <v>43497</v>
      </c>
      <c r="EL10" s="379">
        <f t="shared" si="58"/>
        <v>43525</v>
      </c>
      <c r="EM10" s="379">
        <f t="shared" si="58"/>
        <v>43556</v>
      </c>
      <c r="EN10" s="379">
        <f t="shared" si="58"/>
        <v>43586</v>
      </c>
      <c r="EO10" s="379">
        <f t="shared" si="58"/>
        <v>43617</v>
      </c>
      <c r="EP10" s="379">
        <f t="shared" si="58"/>
        <v>43647</v>
      </c>
      <c r="EQ10" s="379">
        <f t="shared" si="58"/>
        <v>43678</v>
      </c>
      <c r="ER10" s="379">
        <f t="shared" si="58"/>
        <v>43709</v>
      </c>
      <c r="ES10" s="379">
        <f t="shared" si="58"/>
        <v>43739</v>
      </c>
      <c r="ET10" s="379">
        <f t="shared" si="58"/>
        <v>43770</v>
      </c>
      <c r="EU10" s="379">
        <f t="shared" si="58"/>
        <v>43800</v>
      </c>
      <c r="EV10" s="379">
        <f t="shared" si="58"/>
        <v>43831</v>
      </c>
      <c r="EW10" s="379">
        <f t="shared" si="58"/>
        <v>43862</v>
      </c>
      <c r="EX10" s="379">
        <f t="shared" si="58"/>
        <v>43891</v>
      </c>
      <c r="EY10" s="379">
        <f t="shared" si="58"/>
        <v>43922</v>
      </c>
      <c r="EZ10" s="379">
        <f t="shared" si="58"/>
        <v>43952</v>
      </c>
      <c r="FA10" s="379">
        <f t="shared" si="58"/>
        <v>43983</v>
      </c>
      <c r="FB10" s="379">
        <f t="shared" ref="FB10:HI10" si="59">FB1</f>
        <v>44013</v>
      </c>
      <c r="FC10" s="379">
        <f t="shared" si="59"/>
        <v>44044</v>
      </c>
      <c r="FD10" s="379">
        <f t="shared" si="59"/>
        <v>44075</v>
      </c>
      <c r="FE10" s="379">
        <f t="shared" si="59"/>
        <v>44105</v>
      </c>
      <c r="FF10" s="379">
        <f t="shared" si="59"/>
        <v>44136</v>
      </c>
      <c r="FG10" s="379">
        <f t="shared" si="59"/>
        <v>44166</v>
      </c>
      <c r="FH10" s="379">
        <f t="shared" si="59"/>
        <v>44197</v>
      </c>
      <c r="FI10" s="379">
        <f t="shared" si="59"/>
        <v>44228</v>
      </c>
      <c r="FJ10" s="379">
        <f t="shared" si="59"/>
        <v>44256</v>
      </c>
      <c r="FK10" s="379">
        <f t="shared" si="59"/>
        <v>44287</v>
      </c>
      <c r="FL10" s="379">
        <f t="shared" si="59"/>
        <v>44317</v>
      </c>
      <c r="FM10" s="379">
        <f t="shared" si="59"/>
        <v>44348</v>
      </c>
      <c r="FN10" s="379">
        <f t="shared" si="59"/>
        <v>44378</v>
      </c>
      <c r="FO10" s="379">
        <f t="shared" si="59"/>
        <v>44409</v>
      </c>
      <c r="FP10" s="379">
        <f t="shared" si="59"/>
        <v>44440</v>
      </c>
      <c r="FQ10" s="379">
        <f t="shared" si="59"/>
        <v>44470</v>
      </c>
      <c r="FR10" s="379">
        <f t="shared" si="59"/>
        <v>44501</v>
      </c>
      <c r="FS10" s="379">
        <f t="shared" si="59"/>
        <v>44531</v>
      </c>
      <c r="FT10" s="379">
        <f t="shared" si="59"/>
        <v>44562</v>
      </c>
      <c r="FU10" s="379">
        <f t="shared" si="59"/>
        <v>44593</v>
      </c>
      <c r="FV10" s="379">
        <f t="shared" si="59"/>
        <v>44621</v>
      </c>
      <c r="FW10" s="379">
        <f t="shared" si="59"/>
        <v>44652</v>
      </c>
      <c r="FX10" s="379">
        <f t="shared" si="59"/>
        <v>44682</v>
      </c>
      <c r="FY10" s="379">
        <f t="shared" si="59"/>
        <v>44713</v>
      </c>
      <c r="FZ10" s="379">
        <f t="shared" si="59"/>
        <v>44743</v>
      </c>
      <c r="GA10" s="379">
        <f t="shared" si="59"/>
        <v>44774</v>
      </c>
      <c r="GB10" s="379">
        <f t="shared" si="59"/>
        <v>44805</v>
      </c>
      <c r="GC10" s="379">
        <f t="shared" si="59"/>
        <v>44835</v>
      </c>
      <c r="GD10" s="379">
        <f t="shared" si="59"/>
        <v>44866</v>
      </c>
      <c r="GE10" s="379">
        <f t="shared" si="59"/>
        <v>44896</v>
      </c>
      <c r="GF10" s="379">
        <f t="shared" si="59"/>
        <v>44927</v>
      </c>
      <c r="GG10" s="379">
        <f t="shared" si="59"/>
        <v>44958</v>
      </c>
      <c r="GH10" s="379">
        <f t="shared" si="59"/>
        <v>44986</v>
      </c>
      <c r="GI10" s="379">
        <f t="shared" si="59"/>
        <v>45017</v>
      </c>
      <c r="GJ10" s="379">
        <f t="shared" si="59"/>
        <v>45047</v>
      </c>
      <c r="GK10" s="379">
        <f t="shared" si="59"/>
        <v>45078</v>
      </c>
      <c r="GL10" s="379">
        <f t="shared" si="59"/>
        <v>45108</v>
      </c>
      <c r="GM10" s="379">
        <f t="shared" si="59"/>
        <v>45139</v>
      </c>
      <c r="GN10" s="379">
        <f t="shared" si="59"/>
        <v>45170</v>
      </c>
      <c r="GO10" s="379">
        <f t="shared" si="59"/>
        <v>45200</v>
      </c>
      <c r="GP10" s="379">
        <f t="shared" si="59"/>
        <v>45231</v>
      </c>
      <c r="GQ10" s="379">
        <f t="shared" si="59"/>
        <v>45261</v>
      </c>
      <c r="GR10" s="379">
        <f t="shared" si="59"/>
        <v>45292</v>
      </c>
      <c r="GS10" s="379">
        <f t="shared" si="59"/>
        <v>45323</v>
      </c>
      <c r="GT10" s="379">
        <f t="shared" si="59"/>
        <v>45352</v>
      </c>
      <c r="GU10" s="379">
        <f t="shared" si="59"/>
        <v>45383</v>
      </c>
      <c r="GV10" s="379">
        <f t="shared" si="59"/>
        <v>45413</v>
      </c>
      <c r="GW10" s="379">
        <f t="shared" si="59"/>
        <v>45444</v>
      </c>
      <c r="GX10" s="379">
        <f t="shared" si="59"/>
        <v>45474</v>
      </c>
      <c r="GY10" s="379">
        <f t="shared" si="59"/>
        <v>45505</v>
      </c>
      <c r="GZ10" s="379">
        <f t="shared" si="59"/>
        <v>45536</v>
      </c>
      <c r="HA10" s="379">
        <f t="shared" si="59"/>
        <v>45566</v>
      </c>
      <c r="HB10" s="379">
        <f t="shared" si="59"/>
        <v>45597</v>
      </c>
      <c r="HC10" s="379">
        <f t="shared" si="59"/>
        <v>45627</v>
      </c>
      <c r="HD10" s="379">
        <f t="shared" si="59"/>
        <v>45658</v>
      </c>
      <c r="HE10" s="379">
        <f t="shared" si="59"/>
        <v>45689</v>
      </c>
      <c r="HF10" s="379">
        <f t="shared" si="59"/>
        <v>45717</v>
      </c>
      <c r="HG10" s="379">
        <f t="shared" si="59"/>
        <v>45748</v>
      </c>
      <c r="HH10" s="379">
        <f t="shared" si="59"/>
        <v>45778</v>
      </c>
      <c r="HI10" s="379">
        <f t="shared" si="59"/>
        <v>45809</v>
      </c>
      <c r="HJ10" s="379">
        <f t="shared" ref="HJ10:HU10" si="60">HJ1</f>
        <v>45839</v>
      </c>
      <c r="HK10" s="379">
        <f t="shared" si="60"/>
        <v>45870</v>
      </c>
      <c r="HL10" s="379">
        <f t="shared" si="60"/>
        <v>45901</v>
      </c>
      <c r="HM10" s="379">
        <f t="shared" si="60"/>
        <v>45931</v>
      </c>
      <c r="HN10" s="379">
        <f t="shared" si="60"/>
        <v>45962</v>
      </c>
      <c r="HO10" s="379">
        <f t="shared" si="60"/>
        <v>45992</v>
      </c>
      <c r="HP10" s="379">
        <f t="shared" si="60"/>
        <v>46023</v>
      </c>
      <c r="HQ10" s="379">
        <f t="shared" si="60"/>
        <v>46054</v>
      </c>
      <c r="HR10" s="379">
        <f t="shared" si="60"/>
        <v>46082</v>
      </c>
      <c r="HS10" s="379">
        <f t="shared" si="60"/>
        <v>46113</v>
      </c>
      <c r="HT10" s="379">
        <f t="shared" si="60"/>
        <v>46143</v>
      </c>
      <c r="HU10" s="379">
        <f t="shared" si="60"/>
        <v>46174</v>
      </c>
      <c r="HW10" s="486" t="s">
        <v>403</v>
      </c>
      <c r="HX10" s="487"/>
      <c r="HY10" s="487"/>
      <c r="HZ10" s="487"/>
      <c r="IA10" s="487"/>
      <c r="IB10" s="488"/>
      <c r="ID10" s="383" t="s">
        <v>32</v>
      </c>
      <c r="IE10" s="383" t="s">
        <v>51</v>
      </c>
      <c r="IF10" s="383" t="s">
        <v>34</v>
      </c>
      <c r="IG10" s="383" t="s">
        <v>35</v>
      </c>
      <c r="IH10" s="383" t="s">
        <v>103</v>
      </c>
    </row>
    <row r="11" spans="1:242" ht="15" customHeight="1" x14ac:dyDescent="0.25">
      <c r="A11" s="385" t="s">
        <v>401</v>
      </c>
      <c r="C11" s="387"/>
      <c r="D11" s="387"/>
      <c r="G11" s="387"/>
      <c r="AF11" s="387"/>
      <c r="CM11" s="385" t="s">
        <v>401</v>
      </c>
      <c r="CN11" s="382">
        <v>208839.18</v>
      </c>
      <c r="CO11" s="382">
        <v>214253.64</v>
      </c>
      <c r="CP11" s="382">
        <v>192727.48</v>
      </c>
      <c r="CQ11" s="382">
        <v>178408.47</v>
      </c>
      <c r="CR11" s="382">
        <v>172806.19</v>
      </c>
      <c r="CS11" s="382">
        <v>178103.13</v>
      </c>
      <c r="CT11" s="382">
        <v>178388.08</v>
      </c>
      <c r="CU11" s="382">
        <v>184881.83</v>
      </c>
      <c r="CV11" s="382">
        <v>191650.99</v>
      </c>
      <c r="CW11" s="382">
        <v>223120.80000000002</v>
      </c>
      <c r="CX11" s="382">
        <v>240857.61</v>
      </c>
      <c r="CY11" s="382">
        <v>237969.28</v>
      </c>
      <c r="CZ11" s="382">
        <v>241213.5</v>
      </c>
      <c r="DA11" s="382">
        <v>248963.24</v>
      </c>
      <c r="DB11" s="382">
        <v>211396.04</v>
      </c>
      <c r="DC11" s="382">
        <v>228025.16</v>
      </c>
      <c r="DD11" s="382">
        <v>275287.18</v>
      </c>
      <c r="DE11" s="382">
        <v>261287.83000000002</v>
      </c>
      <c r="DF11" s="382">
        <v>248412.35</v>
      </c>
      <c r="DG11" s="444">
        <v>250518.25</v>
      </c>
      <c r="DH11" s="444">
        <v>256832.35</v>
      </c>
      <c r="DI11" s="382">
        <v>267139.81</v>
      </c>
      <c r="DJ11" s="382">
        <v>270923</v>
      </c>
      <c r="DK11" s="382">
        <v>210481.29</v>
      </c>
      <c r="DL11" s="382">
        <v>222369.31</v>
      </c>
      <c r="DM11" s="382">
        <v>288335.62</v>
      </c>
      <c r="DN11" s="382">
        <v>274045.02</v>
      </c>
      <c r="DO11" s="382">
        <v>276912.00999999995</v>
      </c>
      <c r="DP11" s="382">
        <v>278745.84999999998</v>
      </c>
      <c r="DQ11" s="382">
        <v>298044.75</v>
      </c>
      <c r="DR11" s="384">
        <v>303197.05</v>
      </c>
      <c r="DS11" s="384">
        <v>335704.21</v>
      </c>
      <c r="DT11" s="384">
        <v>335715.11</v>
      </c>
      <c r="DU11" s="384">
        <v>338251.73</v>
      </c>
      <c r="DV11" s="384">
        <v>348443.14</v>
      </c>
      <c r="DW11" s="384">
        <v>376246.81</v>
      </c>
      <c r="DX11" s="384">
        <v>385554.62</v>
      </c>
      <c r="DY11" s="384">
        <v>439154.78</v>
      </c>
      <c r="DZ11" s="384">
        <v>457179.02</v>
      </c>
      <c r="EA11" s="384">
        <v>466858.43</v>
      </c>
      <c r="EB11" s="384">
        <v>472548.83</v>
      </c>
      <c r="EC11" s="384">
        <v>487256.8</v>
      </c>
      <c r="ED11" s="384">
        <v>537210.71</v>
      </c>
      <c r="EE11" s="384">
        <v>557930.99</v>
      </c>
      <c r="EF11" s="384">
        <v>585327.35999999999</v>
      </c>
      <c r="EG11" s="384">
        <v>578187.79</v>
      </c>
      <c r="EH11" s="386">
        <v>584200.04</v>
      </c>
      <c r="EI11" s="386">
        <v>586754.09</v>
      </c>
      <c r="EJ11" s="386">
        <v>613662.37</v>
      </c>
      <c r="EK11" s="386">
        <v>658130.16</v>
      </c>
      <c r="EL11" s="386">
        <v>655926.16</v>
      </c>
      <c r="EM11" s="386">
        <v>650172.09</v>
      </c>
      <c r="EN11" s="386">
        <v>675917.68</v>
      </c>
      <c r="EO11" s="386">
        <v>687839.54</v>
      </c>
      <c r="EP11" s="386">
        <v>678682.28</v>
      </c>
      <c r="EQ11" s="386">
        <v>645161.81000000006</v>
      </c>
      <c r="ER11" s="386">
        <v>603551.57999999996</v>
      </c>
      <c r="ES11" s="386">
        <v>601774.51</v>
      </c>
      <c r="ET11" s="386">
        <v>609923</v>
      </c>
      <c r="EU11" s="386">
        <v>587075.29999999993</v>
      </c>
      <c r="EV11" s="386">
        <v>649163.66</v>
      </c>
      <c r="EW11" s="386">
        <v>671741.56</v>
      </c>
      <c r="EX11" s="386">
        <v>674337.9</v>
      </c>
      <c r="EY11" s="386">
        <v>664468.36</v>
      </c>
      <c r="EZ11" s="386">
        <v>681763.9</v>
      </c>
      <c r="FA11" s="386">
        <v>677805.84</v>
      </c>
      <c r="FB11" s="458">
        <v>666552.13</v>
      </c>
      <c r="FC11" s="460">
        <v>685427.67</v>
      </c>
      <c r="FD11" s="460">
        <v>695866.72</v>
      </c>
      <c r="FE11" s="460">
        <v>701196.58</v>
      </c>
      <c r="FF11" s="460">
        <v>712976.36</v>
      </c>
      <c r="FG11" s="460">
        <v>635420.67000000004</v>
      </c>
      <c r="FH11" s="460">
        <v>642076.74</v>
      </c>
      <c r="FI11" s="460">
        <v>668534.27</v>
      </c>
      <c r="FJ11" s="460">
        <v>678839.98</v>
      </c>
      <c r="FK11" s="460">
        <v>648399.1</v>
      </c>
      <c r="FL11" s="460">
        <v>681731.09</v>
      </c>
      <c r="FM11" s="460">
        <v>679167.94</v>
      </c>
      <c r="FN11" s="460">
        <v>679395.48</v>
      </c>
      <c r="FO11" s="460">
        <v>725175.82</v>
      </c>
      <c r="FP11" s="460">
        <v>748667.39999999991</v>
      </c>
      <c r="FQ11" s="460">
        <v>749441.64</v>
      </c>
      <c r="FR11" s="460">
        <v>729198.05</v>
      </c>
      <c r="FS11" s="460">
        <v>740654.1399999999</v>
      </c>
      <c r="FT11" s="460">
        <v>733563.78999999992</v>
      </c>
      <c r="FU11" s="460">
        <v>665678.14</v>
      </c>
      <c r="FV11" s="460">
        <v>651780.37</v>
      </c>
      <c r="FW11" s="460">
        <v>644952.48</v>
      </c>
      <c r="FX11" s="460">
        <v>656098.97</v>
      </c>
      <c r="FY11" s="460">
        <v>678394.21</v>
      </c>
      <c r="FZ11" s="460">
        <v>680173.74</v>
      </c>
      <c r="GA11" s="460">
        <v>686034</v>
      </c>
      <c r="GB11" s="460">
        <v>697231.29</v>
      </c>
      <c r="GC11" s="460">
        <v>676079.23</v>
      </c>
      <c r="GD11" s="460">
        <v>695688.91999999993</v>
      </c>
      <c r="GE11" s="460">
        <v>675675.12</v>
      </c>
      <c r="GF11" s="460">
        <v>681965.69000000006</v>
      </c>
      <c r="GG11" s="460">
        <v>757708.08000000007</v>
      </c>
      <c r="GH11" s="460">
        <v>774914.05</v>
      </c>
      <c r="GI11" s="460">
        <v>811654.38</v>
      </c>
      <c r="GJ11" s="460">
        <v>821377.1100000001</v>
      </c>
      <c r="GK11" s="460">
        <v>835763.36</v>
      </c>
      <c r="GL11" s="460">
        <v>833120.08</v>
      </c>
      <c r="GM11" s="460">
        <v>847214.88</v>
      </c>
      <c r="GN11" s="460">
        <v>866832.65</v>
      </c>
      <c r="GO11" s="460">
        <v>862748.82000000007</v>
      </c>
      <c r="GP11" s="460">
        <v>880146.96</v>
      </c>
      <c r="GQ11" s="460">
        <v>874231.74</v>
      </c>
      <c r="GR11" s="460">
        <v>862966.68</v>
      </c>
      <c r="GS11" s="460">
        <v>877421.61</v>
      </c>
      <c r="GT11" s="460">
        <v>915705.01</v>
      </c>
      <c r="GU11" s="460">
        <v>914639.30999999994</v>
      </c>
      <c r="GV11" s="460">
        <v>884904.09</v>
      </c>
      <c r="GW11" s="460">
        <v>916197.06</v>
      </c>
      <c r="GX11" s="460">
        <v>911342.07</v>
      </c>
      <c r="GY11" s="460">
        <v>931176.01</v>
      </c>
      <c r="GZ11" s="460">
        <v>956551.56</v>
      </c>
      <c r="HA11" s="460">
        <v>955097.3</v>
      </c>
      <c r="HB11" s="460">
        <v>982738.5</v>
      </c>
      <c r="HC11" s="460">
        <v>1064022.6599999999</v>
      </c>
      <c r="HD11" s="460">
        <v>1062395.03</v>
      </c>
      <c r="HE11" s="460">
        <v>1066309.1000000001</v>
      </c>
      <c r="HF11" s="460">
        <v>1115290.43</v>
      </c>
      <c r="HG11" s="460">
        <v>1089390.51</v>
      </c>
      <c r="HH11" s="460">
        <v>1101636.6600000001</v>
      </c>
      <c r="HI11" s="460">
        <v>1125805.93</v>
      </c>
      <c r="HJ11" s="460"/>
      <c r="HK11" s="460"/>
      <c r="HL11" s="460"/>
      <c r="HM11" s="460"/>
      <c r="HN11" s="460"/>
      <c r="HO11" s="460"/>
      <c r="HP11" s="460"/>
      <c r="HQ11" s="460"/>
      <c r="HR11" s="460"/>
      <c r="HS11" s="460"/>
      <c r="HT11" s="460"/>
      <c r="HU11" s="460"/>
      <c r="HW11" s="480" t="s">
        <v>73</v>
      </c>
      <c r="HX11" s="481"/>
      <c r="HY11" s="481"/>
      <c r="HZ11" s="481"/>
      <c r="IA11" s="481"/>
      <c r="IB11" s="482"/>
      <c r="ID11" s="383" t="s">
        <v>439</v>
      </c>
      <c r="IE11" s="383" t="s">
        <v>382</v>
      </c>
      <c r="IF11" s="438">
        <v>19786.099999999999</v>
      </c>
      <c r="IG11" s="438">
        <v>28466.03</v>
      </c>
      <c r="IH11" s="438">
        <v>1077553.8</v>
      </c>
    </row>
    <row r="12" spans="1:242" ht="15" customHeight="1" x14ac:dyDescent="0.25">
      <c r="A12" s="385" t="s">
        <v>402</v>
      </c>
      <c r="C12" s="387"/>
      <c r="D12" s="387"/>
      <c r="G12" s="387"/>
      <c r="AF12" s="387"/>
      <c r="CM12" s="385" t="s">
        <v>402</v>
      </c>
      <c r="CN12" s="386">
        <f t="shared" ref="CN12:DS12" si="61">CN6-CN11</f>
        <v>802998.39999999991</v>
      </c>
      <c r="CO12" s="386">
        <f t="shared" si="61"/>
        <v>851202.2699999999</v>
      </c>
      <c r="CP12" s="386">
        <f t="shared" si="61"/>
        <v>813252.30999999994</v>
      </c>
      <c r="CQ12" s="386">
        <f t="shared" si="61"/>
        <v>772330.17999999993</v>
      </c>
      <c r="CR12" s="386">
        <f t="shared" si="61"/>
        <v>851877.6100000001</v>
      </c>
      <c r="CS12" s="386">
        <f t="shared" si="61"/>
        <v>857929.1100000001</v>
      </c>
      <c r="CT12" s="386">
        <f t="shared" si="61"/>
        <v>771043.21</v>
      </c>
      <c r="CU12" s="386">
        <f t="shared" si="61"/>
        <v>814192.4800000001</v>
      </c>
      <c r="CV12" s="386">
        <f t="shared" si="61"/>
        <v>753997.11999999988</v>
      </c>
      <c r="CW12" s="386">
        <f t="shared" si="61"/>
        <v>683281.42999999993</v>
      </c>
      <c r="CX12" s="386">
        <f t="shared" si="61"/>
        <v>752538.40000000014</v>
      </c>
      <c r="CY12" s="386">
        <f t="shared" si="61"/>
        <v>723956.03999999992</v>
      </c>
      <c r="CZ12" s="386">
        <f t="shared" si="61"/>
        <v>727919.43</v>
      </c>
      <c r="DA12" s="386">
        <f t="shared" si="61"/>
        <v>744930.20000000007</v>
      </c>
      <c r="DB12" s="386">
        <f t="shared" si="61"/>
        <v>742003.5</v>
      </c>
      <c r="DC12" s="386">
        <f t="shared" si="61"/>
        <v>718279.15</v>
      </c>
      <c r="DD12" s="386">
        <f t="shared" si="61"/>
        <v>782521.08000000007</v>
      </c>
      <c r="DE12" s="386">
        <f t="shared" si="61"/>
        <v>769289.6100000001</v>
      </c>
      <c r="DF12" s="386">
        <f t="shared" si="61"/>
        <v>679548.40999999992</v>
      </c>
      <c r="DG12" s="386">
        <f t="shared" si="61"/>
        <v>675864.00999999989</v>
      </c>
      <c r="DH12" s="386">
        <f t="shared" si="61"/>
        <v>641910.14</v>
      </c>
      <c r="DI12" s="386">
        <f t="shared" si="61"/>
        <v>633481.22</v>
      </c>
      <c r="DJ12" s="386">
        <f t="shared" si="61"/>
        <v>686264.62000000011</v>
      </c>
      <c r="DK12" s="386">
        <f t="shared" si="61"/>
        <v>798677.24</v>
      </c>
      <c r="DL12" s="386">
        <f t="shared" si="61"/>
        <v>723658.76</v>
      </c>
      <c r="DM12" s="386">
        <f t="shared" si="61"/>
        <v>739909.5199999999</v>
      </c>
      <c r="DN12" s="386">
        <f t="shared" si="61"/>
        <v>687257.54</v>
      </c>
      <c r="DO12" s="386">
        <f t="shared" si="61"/>
        <v>668603.14000000013</v>
      </c>
      <c r="DP12" s="386">
        <f t="shared" si="61"/>
        <v>780496.94000000006</v>
      </c>
      <c r="DQ12" s="386">
        <f t="shared" si="61"/>
        <v>674436.4</v>
      </c>
      <c r="DR12" s="386">
        <f t="shared" si="61"/>
        <v>604879.51</v>
      </c>
      <c r="DS12" s="386">
        <f t="shared" si="61"/>
        <v>634067.10999999987</v>
      </c>
      <c r="DT12" s="386">
        <f t="shared" ref="DT12:EY12" si="62">DT6-DT11</f>
        <v>614610.15</v>
      </c>
      <c r="DU12" s="386">
        <f t="shared" si="62"/>
        <v>592700.41</v>
      </c>
      <c r="DV12" s="386">
        <f t="shared" si="62"/>
        <v>636049.42999999993</v>
      </c>
      <c r="DW12" s="386">
        <f t="shared" si="62"/>
        <v>638304.19000000018</v>
      </c>
      <c r="DX12" s="386">
        <f t="shared" si="62"/>
        <v>612677.8600000001</v>
      </c>
      <c r="DY12" s="386">
        <f t="shared" si="62"/>
        <v>708975.15999999992</v>
      </c>
      <c r="DZ12" s="386">
        <f t="shared" si="62"/>
        <v>719929.33000000007</v>
      </c>
      <c r="EA12" s="386">
        <f t="shared" si="62"/>
        <v>585099.04</v>
      </c>
      <c r="EB12" s="386">
        <f t="shared" si="62"/>
        <v>644526.14999999991</v>
      </c>
      <c r="EC12" s="386">
        <f t="shared" si="62"/>
        <v>651558.82999999984</v>
      </c>
      <c r="ED12" s="386">
        <f t="shared" si="62"/>
        <v>580729.62999999989</v>
      </c>
      <c r="EE12" s="386">
        <f t="shared" si="62"/>
        <v>638919.43999999994</v>
      </c>
      <c r="EF12" s="386">
        <f t="shared" si="62"/>
        <v>626139.21000000031</v>
      </c>
      <c r="EG12" s="386">
        <f t="shared" si="62"/>
        <v>585226.48</v>
      </c>
      <c r="EH12" s="386">
        <f t="shared" si="62"/>
        <v>583658.2899999998</v>
      </c>
      <c r="EI12" s="386">
        <f t="shared" si="62"/>
        <v>581904.46000000008</v>
      </c>
      <c r="EJ12" s="386">
        <f t="shared" si="62"/>
        <v>492495.37999999977</v>
      </c>
      <c r="EK12" s="386">
        <f t="shared" si="62"/>
        <v>516837.42999999982</v>
      </c>
      <c r="EL12" s="386">
        <f t="shared" si="62"/>
        <v>497338.81999999995</v>
      </c>
      <c r="EM12" s="386">
        <f t="shared" si="62"/>
        <v>404879.9800000001</v>
      </c>
      <c r="EN12" s="386">
        <f t="shared" si="62"/>
        <v>469191.45999999985</v>
      </c>
      <c r="EO12" s="386">
        <f t="shared" si="62"/>
        <v>481784.18999999994</v>
      </c>
      <c r="EP12" s="386">
        <f t="shared" si="62"/>
        <v>443567.08999999985</v>
      </c>
      <c r="EQ12" s="386">
        <f t="shared" si="62"/>
        <v>662932.31999999983</v>
      </c>
      <c r="ER12" s="386">
        <f t="shared" si="62"/>
        <v>652271.35999999999</v>
      </c>
      <c r="ES12" s="386">
        <f t="shared" si="62"/>
        <v>544367.21</v>
      </c>
      <c r="ET12" s="386">
        <f t="shared" si="62"/>
        <v>572745.17000000016</v>
      </c>
      <c r="EU12" s="386">
        <f t="shared" si="62"/>
        <v>583097.71000000008</v>
      </c>
      <c r="EV12" s="386">
        <f t="shared" si="62"/>
        <v>463782.02000000014</v>
      </c>
      <c r="EW12" s="386">
        <f t="shared" si="62"/>
        <v>433464.45999999996</v>
      </c>
      <c r="EX12" s="386">
        <f t="shared" si="62"/>
        <v>432947.65</v>
      </c>
      <c r="EY12" s="386">
        <f t="shared" si="62"/>
        <v>438918.89</v>
      </c>
      <c r="EZ12" s="386">
        <f t="shared" ref="EZ12:FB12" si="63">EZ6-EZ11</f>
        <v>498617.04999999993</v>
      </c>
      <c r="FA12" s="386">
        <f t="shared" si="63"/>
        <v>503165.21000000008</v>
      </c>
      <c r="FB12" s="386">
        <f t="shared" si="63"/>
        <v>433814.48999999987</v>
      </c>
      <c r="FC12" s="386">
        <f t="shared" ref="FC12:FK12" si="64">FC6-FC11</f>
        <v>515689.50000000012</v>
      </c>
      <c r="FD12" s="386">
        <f t="shared" si="64"/>
        <v>485240.24999999977</v>
      </c>
      <c r="FE12" s="386">
        <f t="shared" si="64"/>
        <v>472532.44000000006</v>
      </c>
      <c r="FF12" s="386">
        <f t="shared" si="64"/>
        <v>503310.78000000014</v>
      </c>
      <c r="FG12" s="386">
        <f t="shared" si="64"/>
        <v>658290.67999999982</v>
      </c>
      <c r="FH12" s="386">
        <f t="shared" si="64"/>
        <v>493860.04000000004</v>
      </c>
      <c r="FI12" s="386">
        <f t="shared" si="64"/>
        <v>557147.09999999986</v>
      </c>
      <c r="FJ12" s="386">
        <f t="shared" si="64"/>
        <v>614803.13000000012</v>
      </c>
      <c r="FK12" s="386">
        <f t="shared" si="64"/>
        <v>644660.47000000009</v>
      </c>
      <c r="FL12" s="386">
        <f t="shared" ref="FL12:GJ12" si="65">FL6-FL11</f>
        <v>665388.91</v>
      </c>
      <c r="FM12" s="386">
        <f t="shared" si="65"/>
        <v>705688.16999999993</v>
      </c>
      <c r="FN12" s="386">
        <f t="shared" si="65"/>
        <v>714906.16999999993</v>
      </c>
      <c r="FO12" s="386">
        <f t="shared" si="65"/>
        <v>734128.22000000032</v>
      </c>
      <c r="FP12" s="386">
        <f t="shared" si="65"/>
        <v>743746.89999999991</v>
      </c>
      <c r="FQ12" s="386">
        <f t="shared" si="65"/>
        <v>591020.69000000006</v>
      </c>
      <c r="FR12" s="386">
        <f t="shared" si="65"/>
        <v>614643.78</v>
      </c>
      <c r="FS12" s="386">
        <f t="shared" si="65"/>
        <v>613186.01</v>
      </c>
      <c r="FT12" s="386">
        <f t="shared" si="65"/>
        <v>627152.76000000013</v>
      </c>
      <c r="FU12" s="386">
        <f t="shared" si="65"/>
        <v>719927.43999999983</v>
      </c>
      <c r="FV12" s="386">
        <f t="shared" si="65"/>
        <v>658705.19999999984</v>
      </c>
      <c r="FW12" s="386">
        <f t="shared" si="65"/>
        <v>550020.92999999993</v>
      </c>
      <c r="FX12" s="386">
        <f t="shared" si="65"/>
        <v>580198.70000000019</v>
      </c>
      <c r="FY12" s="386">
        <f t="shared" si="65"/>
        <v>627109.99</v>
      </c>
      <c r="FZ12" s="386">
        <f t="shared" si="65"/>
        <v>608067.57999999984</v>
      </c>
      <c r="GA12" s="386">
        <f t="shared" si="65"/>
        <v>615733.92999999993</v>
      </c>
      <c r="GB12" s="386">
        <f t="shared" si="65"/>
        <v>464117.28</v>
      </c>
      <c r="GC12" s="386">
        <f t="shared" si="65"/>
        <v>428081.58000000007</v>
      </c>
      <c r="GD12" s="386">
        <f t="shared" si="65"/>
        <v>459236.99000000022</v>
      </c>
      <c r="GE12" s="386">
        <f t="shared" si="65"/>
        <v>448242.27000000037</v>
      </c>
      <c r="GF12" s="386">
        <f t="shared" si="65"/>
        <v>434151.18000000005</v>
      </c>
      <c r="GG12" s="386">
        <f t="shared" si="65"/>
        <v>491747.20999999996</v>
      </c>
      <c r="GH12" s="386">
        <f t="shared" si="65"/>
        <v>427548.01</v>
      </c>
      <c r="GI12" s="386">
        <f t="shared" si="65"/>
        <v>389185.54999999993</v>
      </c>
      <c r="GJ12" s="386">
        <f t="shared" si="65"/>
        <v>419024.7799999998</v>
      </c>
      <c r="GK12" s="386">
        <f t="shared" ref="GK12:HI12" si="66">GK6-GK11</f>
        <v>407941.55000000016</v>
      </c>
      <c r="GL12" s="386">
        <f t="shared" si="66"/>
        <v>411628.87000000023</v>
      </c>
      <c r="GM12" s="386">
        <f t="shared" si="66"/>
        <v>466649.41000000003</v>
      </c>
      <c r="GN12" s="386">
        <f t="shared" si="66"/>
        <v>460633.88</v>
      </c>
      <c r="GO12" s="386">
        <f t="shared" si="66"/>
        <v>464862.42000000016</v>
      </c>
      <c r="GP12" s="386">
        <f t="shared" si="66"/>
        <v>499372.77000000025</v>
      </c>
      <c r="GQ12" s="386">
        <f t="shared" si="66"/>
        <v>475054.54000000004</v>
      </c>
      <c r="GR12" s="386">
        <f t="shared" si="66"/>
        <v>473886.35</v>
      </c>
      <c r="GS12" s="386">
        <f t="shared" si="66"/>
        <v>512591.11</v>
      </c>
      <c r="GT12" s="386">
        <f t="shared" si="66"/>
        <v>508877.28</v>
      </c>
      <c r="GU12" s="386">
        <f t="shared" si="66"/>
        <v>510178.5900000002</v>
      </c>
      <c r="GV12" s="386">
        <f t="shared" si="66"/>
        <v>589464.00000000012</v>
      </c>
      <c r="GW12" s="386">
        <f t="shared" si="66"/>
        <v>619675.19000000041</v>
      </c>
      <c r="GX12" s="386">
        <f t="shared" si="66"/>
        <v>574594.09</v>
      </c>
      <c r="GY12" s="386">
        <f t="shared" si="66"/>
        <v>571973.43999999971</v>
      </c>
      <c r="GZ12" s="386">
        <f t="shared" si="66"/>
        <v>620737.20000000019</v>
      </c>
      <c r="HA12" s="386">
        <f t="shared" si="66"/>
        <v>531028.12000000011</v>
      </c>
      <c r="HB12" s="386">
        <f t="shared" si="66"/>
        <v>579831.73999999976</v>
      </c>
      <c r="HC12" s="386">
        <f t="shared" si="66"/>
        <v>530541.74</v>
      </c>
      <c r="HD12" s="386">
        <f t="shared" si="66"/>
        <v>512269.24</v>
      </c>
      <c r="HE12" s="386">
        <f t="shared" si="66"/>
        <v>564143.71</v>
      </c>
      <c r="HF12" s="386">
        <f t="shared" si="66"/>
        <v>546353.42999999993</v>
      </c>
      <c r="HG12" s="386">
        <f t="shared" si="66"/>
        <v>512218.64999999991</v>
      </c>
      <c r="HH12" s="386">
        <f t="shared" si="66"/>
        <v>605532.4299999997</v>
      </c>
      <c r="HI12" s="386">
        <f t="shared" si="66"/>
        <v>622359.6100000001</v>
      </c>
      <c r="HJ12" s="386"/>
      <c r="HK12" s="386"/>
      <c r="HL12" s="386"/>
      <c r="HM12" s="386"/>
      <c r="HN12" s="386"/>
      <c r="HO12" s="386"/>
      <c r="HP12" s="386"/>
      <c r="HQ12" s="386"/>
      <c r="HR12" s="386"/>
      <c r="HS12" s="386"/>
      <c r="HT12" s="386"/>
      <c r="HU12" s="386"/>
      <c r="HW12" s="480" t="s">
        <v>404</v>
      </c>
      <c r="HX12" s="481"/>
      <c r="HY12" s="481"/>
      <c r="HZ12" s="481"/>
      <c r="IA12" s="481"/>
      <c r="IB12" s="482"/>
      <c r="IH12" s="438">
        <f>SUM(IF11:IH11)</f>
        <v>1125805.93</v>
      </c>
    </row>
    <row r="13" spans="1:242" ht="15" customHeight="1" x14ac:dyDescent="0.25">
      <c r="C13" s="387"/>
      <c r="D13" s="387"/>
      <c r="G13" s="387"/>
      <c r="M13" s="439"/>
      <c r="N13" s="439"/>
      <c r="O13" s="439"/>
      <c r="P13" s="439"/>
      <c r="Q13" s="439"/>
      <c r="R13" s="439"/>
      <c r="S13" s="439"/>
      <c r="T13" s="439"/>
      <c r="U13" s="439"/>
      <c r="V13" s="439"/>
      <c r="W13" s="439"/>
      <c r="X13" s="439"/>
      <c r="Y13" s="439"/>
      <c r="Z13" s="439"/>
      <c r="AA13" s="439"/>
      <c r="AB13" s="439"/>
      <c r="AC13" s="439"/>
      <c r="AD13" s="439"/>
      <c r="AE13" s="439"/>
      <c r="AF13" s="439"/>
      <c r="AG13" s="439"/>
      <c r="AH13" s="439"/>
      <c r="AI13" s="439"/>
      <c r="AJ13" s="439"/>
      <c r="AK13" s="439"/>
      <c r="AL13" s="439"/>
      <c r="AM13" s="439"/>
      <c r="AN13" s="439"/>
      <c r="AO13" s="439"/>
      <c r="AP13" s="439"/>
      <c r="AQ13" s="439"/>
      <c r="AR13" s="439"/>
      <c r="AS13" s="439"/>
      <c r="AT13" s="439"/>
      <c r="AU13" s="439"/>
      <c r="AV13" s="439"/>
      <c r="AW13" s="439"/>
      <c r="AX13" s="439"/>
      <c r="AY13" s="439"/>
      <c r="AZ13" s="439"/>
      <c r="BA13" s="439"/>
      <c r="BB13" s="439"/>
      <c r="BC13" s="439"/>
      <c r="BD13" s="439"/>
      <c r="BE13" s="439"/>
      <c r="BF13" s="439"/>
      <c r="BG13" s="439"/>
      <c r="BH13" s="439"/>
      <c r="BI13" s="439"/>
      <c r="BJ13" s="439"/>
      <c r="BK13" s="439"/>
      <c r="BL13" s="439"/>
      <c r="BM13" s="439"/>
      <c r="BN13" s="439"/>
      <c r="BO13" s="439"/>
      <c r="BP13" s="439"/>
      <c r="BQ13" s="439"/>
      <c r="BR13" s="439"/>
      <c r="BS13" s="439"/>
      <c r="BT13" s="439"/>
      <c r="BU13" s="439"/>
      <c r="BV13" s="439"/>
      <c r="BW13" s="439"/>
      <c r="BX13" s="439"/>
      <c r="BY13" s="439"/>
      <c r="BZ13" s="439"/>
      <c r="CA13" s="439"/>
      <c r="CB13" s="439"/>
      <c r="CC13" s="439"/>
      <c r="CD13" s="439"/>
      <c r="CE13" s="439"/>
      <c r="CF13" s="439"/>
      <c r="CG13" s="439"/>
      <c r="CH13" s="439"/>
      <c r="CI13" s="439"/>
      <c r="CJ13" s="439"/>
      <c r="CK13" s="439"/>
      <c r="CL13" s="439"/>
      <c r="CM13" s="439"/>
      <c r="CN13" s="439"/>
      <c r="CO13" s="439"/>
      <c r="CP13" s="439"/>
      <c r="CQ13" s="439"/>
      <c r="CR13" s="439"/>
      <c r="CS13" s="439"/>
      <c r="CT13" s="439"/>
      <c r="CU13" s="439"/>
      <c r="CV13" s="439"/>
      <c r="CW13" s="439"/>
      <c r="CX13" s="439"/>
      <c r="CY13" s="439"/>
      <c r="CZ13" s="439"/>
      <c r="DA13" s="439"/>
      <c r="DB13" s="439"/>
      <c r="DC13" s="439"/>
      <c r="DD13" s="439"/>
      <c r="DE13" s="439"/>
      <c r="DF13" s="439"/>
      <c r="DG13" s="440"/>
      <c r="DH13" s="440"/>
      <c r="DI13" s="440"/>
      <c r="DJ13" s="440"/>
      <c r="DK13" s="440"/>
      <c r="DL13" s="440"/>
      <c r="DM13" s="440"/>
      <c r="DN13" s="440"/>
      <c r="DO13" s="440"/>
      <c r="DP13" s="440"/>
      <c r="DQ13" s="440"/>
      <c r="DR13" s="440"/>
      <c r="DS13" s="440"/>
      <c r="DT13" s="440"/>
      <c r="DU13" s="439"/>
      <c r="DV13" s="439"/>
      <c r="DW13" s="439"/>
      <c r="DX13" s="439"/>
      <c r="DY13" s="439"/>
      <c r="DZ13" s="439"/>
      <c r="EA13" s="439"/>
      <c r="EB13" s="439"/>
      <c r="EC13" s="439"/>
      <c r="ED13" s="439"/>
      <c r="EE13" s="439"/>
      <c r="EF13" s="439"/>
      <c r="EG13" s="439"/>
      <c r="EH13" s="439"/>
      <c r="EI13" s="439"/>
      <c r="EJ13" s="439"/>
      <c r="EK13" s="439"/>
      <c r="EL13" s="439"/>
      <c r="EM13" s="439"/>
      <c r="EN13" s="439"/>
      <c r="EO13" s="439"/>
      <c r="EP13" s="439"/>
      <c r="EQ13" s="439"/>
      <c r="ER13" s="439"/>
      <c r="ES13" s="439"/>
      <c r="ET13" s="439"/>
      <c r="EU13" s="439"/>
      <c r="FB13" s="379"/>
      <c r="FC13" s="379"/>
      <c r="FD13" s="379"/>
      <c r="FE13" s="379"/>
      <c r="FF13" s="379"/>
      <c r="FG13" s="379"/>
      <c r="FH13" s="379"/>
      <c r="FI13" s="379"/>
      <c r="FJ13" s="379"/>
      <c r="FK13" s="379"/>
      <c r="FL13" s="379"/>
      <c r="FM13" s="379"/>
      <c r="FN13" s="379"/>
      <c r="FO13" s="379"/>
      <c r="FP13" s="379"/>
      <c r="FQ13" s="379"/>
      <c r="FR13" s="379"/>
      <c r="FS13" s="379"/>
      <c r="FT13" s="379"/>
      <c r="FU13" s="379"/>
      <c r="FV13" s="379"/>
      <c r="FW13" s="379"/>
      <c r="FX13" s="379"/>
      <c r="FY13" s="379"/>
      <c r="FZ13" s="379"/>
      <c r="GA13" s="379"/>
      <c r="GB13" s="379"/>
      <c r="GC13" s="379"/>
      <c r="GD13" s="379"/>
      <c r="GE13" s="379"/>
      <c r="GF13" s="379"/>
      <c r="GG13" s="379"/>
      <c r="GH13" s="379"/>
      <c r="GI13" s="379"/>
      <c r="GJ13" s="379"/>
      <c r="GK13" s="379"/>
      <c r="GL13" s="379"/>
      <c r="GM13" s="379"/>
      <c r="GN13" s="379"/>
      <c r="GO13" s="379"/>
      <c r="GP13" s="379"/>
      <c r="GQ13" s="379"/>
      <c r="GR13" s="379"/>
      <c r="GS13" s="379"/>
      <c r="GT13" s="379"/>
      <c r="GU13" s="379"/>
      <c r="GV13" s="379"/>
      <c r="GW13" s="379"/>
      <c r="GX13" s="379"/>
      <c r="GY13" s="379"/>
      <c r="GZ13" s="379"/>
      <c r="HA13" s="379"/>
      <c r="HB13" s="379"/>
      <c r="HC13" s="379"/>
      <c r="HD13" s="379"/>
      <c r="HE13" s="379"/>
      <c r="HF13" s="379"/>
      <c r="HG13" s="379"/>
      <c r="HH13" s="379"/>
      <c r="HI13" s="379"/>
      <c r="HJ13" s="379"/>
      <c r="HK13" s="379"/>
      <c r="HL13" s="379"/>
      <c r="HM13" s="379"/>
      <c r="HN13" s="379"/>
      <c r="HO13" s="379"/>
      <c r="HP13" s="379"/>
      <c r="HQ13" s="379"/>
      <c r="HR13" s="379"/>
      <c r="HS13" s="379"/>
      <c r="HT13" s="379"/>
      <c r="HU13" s="379"/>
      <c r="HW13" s="480" t="s">
        <v>92</v>
      </c>
      <c r="HX13" s="481"/>
      <c r="HY13" s="481"/>
      <c r="HZ13" s="481"/>
      <c r="IA13" s="481"/>
      <c r="IB13" s="482"/>
    </row>
    <row r="14" spans="1:242" ht="15" customHeight="1" thickBot="1" x14ac:dyDescent="0.3">
      <c r="C14" s="387"/>
      <c r="D14" s="387"/>
      <c r="G14" s="387"/>
      <c r="M14" s="386"/>
      <c r="N14" s="386"/>
      <c r="O14" s="386"/>
      <c r="P14" s="386"/>
      <c r="Q14" s="386"/>
      <c r="R14" s="386"/>
      <c r="S14" s="386"/>
      <c r="T14" s="386"/>
      <c r="U14" s="386"/>
      <c r="V14" s="386"/>
      <c r="W14" s="386"/>
      <c r="X14" s="386"/>
      <c r="Y14" s="386"/>
      <c r="Z14" s="386"/>
      <c r="AA14" s="386"/>
      <c r="AB14" s="386"/>
      <c r="AC14" s="386"/>
      <c r="AD14" s="386"/>
      <c r="AE14" s="386"/>
      <c r="AF14" s="386"/>
      <c r="AG14" s="386"/>
      <c r="AH14" s="386"/>
      <c r="AI14" s="386"/>
      <c r="AJ14" s="386"/>
      <c r="AK14" s="386"/>
      <c r="AL14" s="386"/>
      <c r="AM14" s="386"/>
      <c r="AN14" s="386"/>
      <c r="AO14" s="386"/>
      <c r="AP14" s="386"/>
      <c r="AQ14" s="386"/>
      <c r="AR14" s="386"/>
      <c r="AS14" s="386"/>
      <c r="AT14" s="386"/>
      <c r="AU14" s="386"/>
      <c r="AV14" s="386"/>
      <c r="AW14" s="386"/>
      <c r="AX14" s="386"/>
      <c r="AY14" s="386"/>
      <c r="AZ14" s="386"/>
      <c r="BA14" s="386"/>
      <c r="BB14" s="386"/>
      <c r="BC14" s="386"/>
      <c r="BD14" s="386"/>
      <c r="BE14" s="386"/>
      <c r="BF14" s="386"/>
      <c r="BG14" s="386"/>
      <c r="BH14" s="386"/>
      <c r="BI14" s="386"/>
      <c r="BJ14" s="386"/>
      <c r="BK14" s="386"/>
      <c r="BL14" s="386"/>
      <c r="BM14" s="386"/>
      <c r="BN14" s="386"/>
      <c r="BO14" s="386"/>
      <c r="BP14" s="386"/>
      <c r="BQ14" s="386"/>
      <c r="BR14" s="386"/>
      <c r="BS14" s="386"/>
      <c r="BT14" s="386"/>
      <c r="BU14" s="386"/>
      <c r="BV14" s="386"/>
      <c r="BW14" s="386"/>
      <c r="BX14" s="386"/>
      <c r="BY14" s="386"/>
      <c r="BZ14" s="386"/>
      <c r="CA14" s="386"/>
      <c r="CB14" s="386"/>
      <c r="CC14" s="386"/>
      <c r="CD14" s="386"/>
      <c r="CE14" s="386"/>
      <c r="CF14" s="386"/>
      <c r="CG14" s="386"/>
      <c r="CH14" s="386"/>
      <c r="CI14" s="386"/>
      <c r="CJ14" s="386"/>
      <c r="CK14" s="386"/>
      <c r="CL14" s="386"/>
      <c r="CM14" s="386"/>
      <c r="CN14" s="386"/>
      <c r="CO14" s="386"/>
      <c r="CP14" s="386"/>
      <c r="CQ14" s="386"/>
      <c r="CR14" s="386"/>
      <c r="CS14" s="386"/>
      <c r="CT14" s="386"/>
      <c r="CV14" s="379"/>
      <c r="CW14" s="386"/>
      <c r="CX14" s="386"/>
      <c r="CY14" s="379"/>
      <c r="CZ14" s="386"/>
      <c r="DA14" s="386"/>
      <c r="DB14" s="379"/>
      <c r="DC14" s="386"/>
      <c r="DD14" s="386"/>
      <c r="DE14" s="379"/>
      <c r="DF14" s="386"/>
      <c r="DG14" s="440"/>
      <c r="DH14" s="379"/>
      <c r="DI14" s="386"/>
      <c r="DJ14" s="386"/>
      <c r="DK14" s="379"/>
      <c r="DL14" s="386"/>
      <c r="DM14" s="386"/>
      <c r="DN14" s="379"/>
      <c r="DO14" s="386"/>
      <c r="DP14" s="386"/>
      <c r="DQ14" s="379"/>
      <c r="DR14" s="440"/>
      <c r="DS14" s="440"/>
      <c r="DT14" s="379"/>
      <c r="DU14" s="386"/>
      <c r="DV14" s="386"/>
      <c r="DW14" s="379"/>
      <c r="DX14" s="386"/>
      <c r="DY14" s="386"/>
      <c r="DZ14" s="379"/>
      <c r="EA14" s="386"/>
      <c r="EB14" s="386"/>
      <c r="EC14" s="379"/>
      <c r="ED14" s="386"/>
      <c r="EE14" s="386"/>
      <c r="EF14" s="379"/>
      <c r="EG14" s="386"/>
      <c r="EH14" s="386"/>
      <c r="EI14" s="379"/>
      <c r="EJ14" s="386"/>
      <c r="EK14" s="386"/>
      <c r="EL14" s="379"/>
      <c r="EM14" s="386"/>
      <c r="EN14" s="386"/>
      <c r="EO14" s="379"/>
      <c r="EP14" s="386"/>
      <c r="EQ14" s="386"/>
      <c r="ER14" s="379"/>
      <c r="ES14" s="386"/>
      <c r="ET14" s="386"/>
      <c r="EU14" s="379"/>
      <c r="EV14" s="386"/>
      <c r="EW14" s="386"/>
      <c r="EX14" s="379"/>
      <c r="EY14" s="386"/>
      <c r="EZ14" s="386"/>
      <c r="FA14" s="379"/>
      <c r="FB14" s="386"/>
      <c r="FC14" s="386"/>
      <c r="FD14" s="386"/>
      <c r="FE14" s="386"/>
      <c r="FF14" s="386"/>
      <c r="FG14" s="386"/>
      <c r="FH14" s="386"/>
      <c r="FI14" s="386"/>
      <c r="FJ14" s="386"/>
      <c r="FK14" s="386"/>
      <c r="FL14" s="386"/>
      <c r="FM14" s="386"/>
      <c r="FN14" s="386"/>
      <c r="FO14" s="386"/>
      <c r="FP14" s="386"/>
      <c r="FQ14" s="386"/>
      <c r="FR14" s="386"/>
      <c r="FS14" s="386"/>
      <c r="FT14" s="386"/>
      <c r="FU14" s="386"/>
      <c r="FV14" s="386"/>
      <c r="FW14" s="386"/>
      <c r="FX14" s="386"/>
      <c r="FY14" s="386"/>
      <c r="FZ14" s="386"/>
      <c r="GA14" s="386"/>
      <c r="GB14" s="386"/>
      <c r="GC14" s="386"/>
      <c r="GD14" s="386"/>
      <c r="GE14" s="386"/>
      <c r="GF14" s="386"/>
      <c r="GG14" s="386"/>
      <c r="GH14" s="386"/>
      <c r="GI14" s="386"/>
      <c r="GJ14" s="386"/>
      <c r="GK14" s="386"/>
      <c r="GL14" s="386"/>
      <c r="GM14" s="386"/>
      <c r="GN14" s="386"/>
      <c r="GO14" s="386"/>
      <c r="GP14" s="386"/>
      <c r="GQ14" s="386"/>
      <c r="GR14" s="386"/>
      <c r="GS14" s="386"/>
      <c r="GT14" s="386"/>
      <c r="GU14" s="386"/>
      <c r="GV14" s="386"/>
      <c r="GW14" s="386"/>
      <c r="GX14" s="386"/>
      <c r="GY14" s="386"/>
      <c r="GZ14" s="386"/>
      <c r="HA14" s="386"/>
      <c r="HB14" s="386"/>
      <c r="HC14" s="386"/>
      <c r="HD14" s="386"/>
      <c r="HE14" s="386"/>
      <c r="HF14" s="386"/>
      <c r="HG14" s="386"/>
      <c r="HH14" s="386"/>
      <c r="HI14" s="386"/>
      <c r="HJ14" s="386"/>
      <c r="HK14" s="386"/>
      <c r="HL14" s="386"/>
      <c r="HM14" s="386"/>
      <c r="HN14" s="386"/>
      <c r="HO14" s="386"/>
      <c r="HP14" s="386"/>
      <c r="HQ14" s="386"/>
      <c r="HR14" s="386"/>
      <c r="HS14" s="386"/>
      <c r="HT14" s="386"/>
      <c r="HU14" s="386"/>
      <c r="HW14" s="483" t="s">
        <v>76</v>
      </c>
      <c r="HX14" s="484"/>
      <c r="HY14" s="484"/>
      <c r="HZ14" s="484"/>
      <c r="IA14" s="484"/>
      <c r="IB14" s="485"/>
      <c r="IE14" s="383" t="s">
        <v>21</v>
      </c>
      <c r="IH14" s="383" t="s">
        <v>21</v>
      </c>
    </row>
    <row r="15" spans="1:242" ht="15" customHeight="1" x14ac:dyDescent="0.25">
      <c r="C15" s="387"/>
      <c r="AF15" s="387"/>
      <c r="AW15" s="386"/>
      <c r="AX15" s="386"/>
      <c r="AY15" s="386"/>
      <c r="AZ15" s="386"/>
      <c r="BA15" s="386"/>
      <c r="BB15" s="386"/>
      <c r="BC15" s="386"/>
      <c r="BD15" s="386"/>
      <c r="BE15" s="386"/>
      <c r="BF15" s="386"/>
      <c r="BG15" s="386"/>
      <c r="BH15" s="386"/>
      <c r="BI15" s="386"/>
      <c r="BJ15" s="386"/>
      <c r="BK15" s="386"/>
      <c r="BL15" s="386"/>
      <c r="BM15" s="386"/>
      <c r="BN15" s="386"/>
      <c r="BO15" s="386"/>
      <c r="BP15" s="386"/>
      <c r="BQ15" s="386"/>
      <c r="BR15" s="386"/>
      <c r="BS15" s="386"/>
      <c r="BT15" s="386"/>
      <c r="BU15" s="386"/>
      <c r="BV15" s="386"/>
      <c r="BW15" s="386"/>
      <c r="BX15" s="386"/>
      <c r="BY15" s="386"/>
      <c r="BZ15" s="386"/>
      <c r="CA15" s="386"/>
      <c r="CB15" s="386"/>
      <c r="CC15" s="386"/>
      <c r="CD15" s="386"/>
      <c r="CE15" s="386"/>
      <c r="CF15" s="386"/>
      <c r="CG15" s="386"/>
      <c r="CH15" s="386"/>
      <c r="CI15" s="386"/>
      <c r="CJ15" s="386"/>
      <c r="CK15" s="386"/>
      <c r="CL15" s="386"/>
      <c r="CM15" s="386"/>
      <c r="CN15" s="386"/>
      <c r="CO15" s="386"/>
      <c r="CP15" s="386"/>
      <c r="CQ15" s="386"/>
      <c r="CR15" s="386"/>
      <c r="CS15" s="386"/>
      <c r="CT15" s="386"/>
      <c r="CU15" s="386"/>
      <c r="CV15" s="386"/>
      <c r="CW15" s="386"/>
      <c r="CX15" s="386"/>
      <c r="CY15" s="386"/>
      <c r="CZ15" s="386"/>
      <c r="DA15" s="386"/>
      <c r="DB15" s="386"/>
      <c r="DC15" s="386"/>
      <c r="DD15" s="386"/>
      <c r="DE15" s="386"/>
      <c r="DF15" s="386"/>
      <c r="DG15" s="440"/>
      <c r="DH15" s="386"/>
      <c r="DI15" s="386"/>
      <c r="DJ15" s="386"/>
      <c r="DK15" s="386"/>
      <c r="DL15" s="386"/>
      <c r="DM15" s="386"/>
      <c r="DN15" s="386"/>
      <c r="DO15" s="386"/>
      <c r="DP15" s="386"/>
      <c r="DQ15" s="386"/>
      <c r="DR15" s="386"/>
      <c r="DS15" s="386"/>
      <c r="DT15" s="386"/>
      <c r="DU15" s="386"/>
      <c r="DV15" s="386"/>
      <c r="DW15" s="386"/>
      <c r="DX15" s="386"/>
      <c r="DY15" s="386"/>
      <c r="DZ15" s="386"/>
      <c r="EA15" s="386"/>
      <c r="EB15" s="386"/>
      <c r="EC15" s="386"/>
      <c r="ED15" s="386"/>
      <c r="EE15" s="386"/>
      <c r="EF15" s="386"/>
      <c r="EG15" s="386"/>
      <c r="EH15" s="386"/>
      <c r="EI15" s="386"/>
      <c r="EJ15" s="386"/>
      <c r="EK15" s="386"/>
      <c r="EL15" s="386"/>
      <c r="EM15" s="386"/>
      <c r="EN15" s="386"/>
      <c r="EO15" s="386"/>
      <c r="EP15" s="386"/>
      <c r="EQ15" s="386"/>
      <c r="ER15" s="386"/>
      <c r="ES15" s="386"/>
      <c r="ET15" s="386"/>
      <c r="EU15" s="386"/>
      <c r="EV15" s="386"/>
      <c r="EW15" s="386"/>
      <c r="EX15" s="386"/>
      <c r="EY15" s="386"/>
      <c r="EZ15" s="386"/>
      <c r="FA15" s="386"/>
      <c r="FB15" s="386"/>
      <c r="FC15" s="386"/>
      <c r="FD15" s="386"/>
      <c r="FE15" s="386"/>
      <c r="FF15" s="386"/>
      <c r="FG15" s="386"/>
      <c r="FH15" s="386"/>
      <c r="FI15" s="386"/>
      <c r="FJ15" s="386"/>
      <c r="FK15" s="386"/>
      <c r="FL15" s="386"/>
      <c r="FM15" s="386"/>
      <c r="FN15" s="386"/>
      <c r="FO15" s="386"/>
      <c r="FP15" s="386"/>
      <c r="FQ15" s="386"/>
      <c r="FR15" s="386"/>
      <c r="FS15" s="386"/>
      <c r="FT15" s="386"/>
      <c r="FU15" s="386"/>
      <c r="FV15" s="386"/>
      <c r="FW15" s="386"/>
      <c r="FX15" s="386"/>
      <c r="FY15" s="386"/>
      <c r="FZ15" s="386"/>
      <c r="GA15" s="386"/>
      <c r="GB15" s="386"/>
      <c r="GC15" s="386"/>
      <c r="GD15" s="386"/>
      <c r="GE15" s="386"/>
      <c r="GF15" s="386"/>
      <c r="GG15" s="386"/>
      <c r="GH15" s="386"/>
      <c r="GI15" s="386"/>
      <c r="GJ15" s="386"/>
      <c r="GK15" s="386"/>
      <c r="GL15" s="386"/>
      <c r="GM15" s="386"/>
      <c r="GN15" s="386"/>
      <c r="GO15" s="386"/>
      <c r="GP15" s="386"/>
      <c r="GQ15" s="386"/>
      <c r="GR15" s="386"/>
      <c r="GS15" s="386"/>
      <c r="GT15" s="386"/>
      <c r="GU15" s="386"/>
      <c r="GV15" s="386"/>
      <c r="GW15" s="386"/>
      <c r="GX15" s="386"/>
      <c r="GY15" s="386"/>
      <c r="GZ15" s="386"/>
      <c r="HA15" s="386"/>
      <c r="HB15" s="386"/>
      <c r="HC15" s="386"/>
      <c r="HD15" s="386"/>
      <c r="HE15" s="386"/>
      <c r="HF15" s="386"/>
      <c r="HG15" s="386"/>
      <c r="HH15" s="386"/>
      <c r="HI15" s="386"/>
      <c r="HJ15" s="386"/>
      <c r="HK15" s="386"/>
      <c r="HL15" s="386"/>
      <c r="HM15" s="386"/>
      <c r="HN15" s="386"/>
      <c r="HO15" s="386"/>
      <c r="HP15" s="386"/>
      <c r="HQ15" s="386"/>
      <c r="HR15" s="386"/>
      <c r="HS15" s="386"/>
      <c r="HT15" s="386"/>
      <c r="HU15" s="386"/>
      <c r="ID15" s="438"/>
      <c r="IF15" s="383" t="s">
        <v>21</v>
      </c>
    </row>
    <row r="16" spans="1:242" ht="15" customHeight="1" x14ac:dyDescent="0.25">
      <c r="C16" s="387"/>
      <c r="AF16" s="387"/>
      <c r="AW16" s="386"/>
      <c r="AX16" s="386"/>
      <c r="AY16" s="386"/>
      <c r="AZ16" s="386"/>
      <c r="BA16" s="386"/>
      <c r="BB16" s="386"/>
      <c r="BC16" s="386"/>
      <c r="BD16" s="386"/>
      <c r="BE16" s="386"/>
      <c r="BF16" s="386"/>
      <c r="BG16" s="386"/>
      <c r="BH16" s="386"/>
      <c r="BI16" s="386"/>
      <c r="BJ16" s="386"/>
      <c r="BK16" s="386"/>
      <c r="BL16" s="386"/>
      <c r="BM16" s="386"/>
      <c r="BN16" s="386"/>
      <c r="BO16" s="386"/>
      <c r="BP16" s="386"/>
      <c r="BQ16" s="386"/>
      <c r="BR16" s="386"/>
      <c r="BS16" s="386"/>
      <c r="BT16" s="386"/>
      <c r="BU16" s="386"/>
      <c r="BV16" s="386"/>
      <c r="BW16" s="386"/>
      <c r="BX16" s="386"/>
      <c r="BY16" s="386"/>
      <c r="BZ16" s="386"/>
      <c r="CA16" s="386"/>
      <c r="CB16" s="386"/>
      <c r="CC16" s="386"/>
      <c r="CD16" s="386"/>
      <c r="CE16" s="386"/>
      <c r="CF16" s="386"/>
      <c r="CG16" s="386"/>
      <c r="CH16" s="386"/>
      <c r="CI16" s="386"/>
      <c r="CJ16" s="386"/>
      <c r="CK16" s="386"/>
      <c r="CL16" s="386"/>
      <c r="CM16" s="386"/>
      <c r="CN16" s="386"/>
      <c r="CO16" s="386"/>
      <c r="CP16" s="386"/>
      <c r="CQ16" s="386"/>
      <c r="CR16" s="386"/>
      <c r="CS16" s="386"/>
      <c r="CT16" s="386"/>
      <c r="CU16" s="386"/>
      <c r="CV16" s="386"/>
      <c r="CW16" s="386"/>
      <c r="CX16" s="386"/>
      <c r="CY16" s="386"/>
      <c r="CZ16" s="386"/>
      <c r="DA16" s="386"/>
      <c r="DB16" s="386"/>
      <c r="DC16" s="386"/>
      <c r="DD16" s="386"/>
      <c r="DE16" s="386"/>
      <c r="DF16" s="386"/>
      <c r="DG16" s="440"/>
      <c r="DH16" s="386"/>
      <c r="DI16" s="386"/>
      <c r="DJ16" s="386"/>
      <c r="DK16" s="386"/>
      <c r="DL16" s="386"/>
      <c r="DM16" s="386"/>
      <c r="DN16" s="386"/>
      <c r="DO16" s="386"/>
      <c r="DP16" s="386"/>
      <c r="DQ16" s="386"/>
      <c r="DR16" s="386"/>
      <c r="DS16" s="386"/>
      <c r="DT16" s="386"/>
      <c r="DU16" s="386"/>
      <c r="DV16" s="386"/>
      <c r="DW16" s="386"/>
      <c r="DX16" s="386"/>
      <c r="DY16" s="386"/>
      <c r="DZ16" s="386"/>
      <c r="EA16" s="386"/>
      <c r="EB16" s="386"/>
      <c r="EC16" s="386"/>
      <c r="ED16" s="386"/>
      <c r="EE16" s="386"/>
      <c r="EF16" s="386"/>
      <c r="EG16" s="386"/>
      <c r="EH16" s="386"/>
      <c r="EI16" s="386"/>
      <c r="EJ16" s="386"/>
      <c r="EK16" s="386"/>
      <c r="EL16" s="386"/>
      <c r="EM16" s="386"/>
      <c r="EN16" s="386"/>
      <c r="EO16" s="386"/>
      <c r="EP16" s="386"/>
      <c r="EQ16" s="386"/>
      <c r="ER16" s="386"/>
      <c r="ES16" s="386"/>
      <c r="ET16" s="386"/>
      <c r="EU16" s="386"/>
      <c r="EV16" s="386"/>
      <c r="EW16" s="386"/>
      <c r="EX16" s="386"/>
      <c r="EY16" s="386"/>
      <c r="EZ16" s="386"/>
      <c r="FA16" s="386"/>
      <c r="FZ16" s="382"/>
      <c r="HW16" s="445" t="s">
        <v>32</v>
      </c>
      <c r="HX16" s="446" t="s">
        <v>406</v>
      </c>
      <c r="HY16" s="446" t="s">
        <v>407</v>
      </c>
      <c r="HZ16" s="447" t="s">
        <v>408</v>
      </c>
    </row>
    <row r="17" spans="3:241" ht="15" customHeight="1" x14ac:dyDescent="0.25">
      <c r="C17" s="387"/>
      <c r="AF17" s="387"/>
      <c r="DG17" s="440"/>
      <c r="DH17" s="440"/>
      <c r="FB17" s="380"/>
      <c r="FC17" s="380"/>
      <c r="FD17" s="380"/>
      <c r="FE17" s="380"/>
      <c r="FF17" s="380"/>
      <c r="FG17" s="380"/>
      <c r="FH17" s="380"/>
      <c r="FI17" s="380"/>
      <c r="FZ17" s="382"/>
      <c r="HW17" s="448" t="s">
        <v>97</v>
      </c>
      <c r="HX17" s="449">
        <v>30155</v>
      </c>
      <c r="HY17" s="449"/>
      <c r="HZ17" s="450"/>
    </row>
    <row r="18" spans="3:241" ht="15" customHeight="1" x14ac:dyDescent="0.25">
      <c r="C18" s="387"/>
      <c r="AF18" s="387"/>
      <c r="DG18" s="440"/>
      <c r="DH18" s="440"/>
      <c r="FB18" s="336"/>
      <c r="FC18" s="336"/>
      <c r="FD18" s="336"/>
      <c r="FE18" s="336"/>
      <c r="FF18" s="336"/>
      <c r="FG18" s="336"/>
      <c r="FH18" s="336"/>
      <c r="FI18" s="336"/>
      <c r="FZ18" s="382"/>
      <c r="HW18" s="451" t="s">
        <v>98</v>
      </c>
      <c r="HX18" s="388">
        <v>32033</v>
      </c>
      <c r="HY18" s="388">
        <v>937.19200000000001</v>
      </c>
      <c r="HZ18" s="452">
        <f t="shared" ref="HZ18:HZ26" si="67">HY18/HX18</f>
        <v>2.9257078637654917E-2</v>
      </c>
      <c r="ID18" s="438"/>
      <c r="IE18" s="438"/>
      <c r="IF18" s="438"/>
      <c r="IG18" s="383" t="s">
        <v>21</v>
      </c>
    </row>
    <row r="19" spans="3:241" ht="15" customHeight="1" x14ac:dyDescent="0.25">
      <c r="C19" s="387"/>
      <c r="DG19" s="440"/>
      <c r="DH19" s="440"/>
      <c r="FB19" s="456"/>
      <c r="FC19" s="456"/>
      <c r="FD19" s="456"/>
      <c r="FE19" s="456"/>
      <c r="FF19" s="456"/>
      <c r="FG19" s="456"/>
      <c r="FH19" s="456"/>
      <c r="FI19" s="456"/>
      <c r="FV19" s="473"/>
      <c r="FZ19" s="382"/>
      <c r="HW19" s="451" t="s">
        <v>99</v>
      </c>
      <c r="HX19" s="388">
        <v>33046</v>
      </c>
      <c r="HY19" s="388">
        <f>M6/1000</f>
        <v>638.72900000000004</v>
      </c>
      <c r="HZ19" s="452">
        <f t="shared" si="67"/>
        <v>1.932848151062156E-2</v>
      </c>
      <c r="ID19" s="438"/>
    </row>
    <row r="20" spans="3:241" ht="15" customHeight="1" x14ac:dyDescent="0.25">
      <c r="C20" s="387"/>
      <c r="DG20" s="440"/>
      <c r="DH20" s="440"/>
      <c r="FB20" s="456"/>
      <c r="FC20" s="456"/>
      <c r="FD20" s="456"/>
      <c r="FE20" s="456"/>
      <c r="FF20" s="456"/>
      <c r="FG20" s="456"/>
      <c r="FH20" s="456"/>
      <c r="FI20" s="456"/>
      <c r="FZ20" s="382"/>
      <c r="HW20" s="451" t="s">
        <v>100</v>
      </c>
      <c r="HX20" s="388">
        <v>40467</v>
      </c>
      <c r="HY20" s="388">
        <f>Y6/1000</f>
        <v>857.30600000000004</v>
      </c>
      <c r="HZ20" s="452">
        <f t="shared" si="67"/>
        <v>2.1185311488373243E-2</v>
      </c>
    </row>
    <row r="21" spans="3:241" ht="15" customHeight="1" x14ac:dyDescent="0.25">
      <c r="DG21" s="440"/>
      <c r="DH21" s="440"/>
      <c r="FB21" s="456"/>
      <c r="FC21" s="456"/>
      <c r="FD21" s="456"/>
      <c r="FE21" s="456"/>
      <c r="FF21" s="456"/>
      <c r="FG21" s="456"/>
      <c r="FH21" s="456"/>
      <c r="FI21" s="456"/>
      <c r="FZ21" s="382"/>
      <c r="HW21" s="451" t="s">
        <v>101</v>
      </c>
      <c r="HX21" s="388">
        <v>44546</v>
      </c>
      <c r="HY21" s="388">
        <f>AK6/1000</f>
        <v>926.14499999999998</v>
      </c>
      <c r="HZ21" s="452">
        <f t="shared" si="67"/>
        <v>2.079075562340053E-2</v>
      </c>
    </row>
    <row r="22" spans="3:241" ht="15" customHeight="1" x14ac:dyDescent="0.25">
      <c r="DH22" s="440"/>
      <c r="DM22" s="438"/>
      <c r="DN22" s="438"/>
      <c r="DO22" s="438"/>
      <c r="FB22" s="456"/>
      <c r="FC22" s="456"/>
      <c r="FD22" s="456"/>
      <c r="FE22" s="456"/>
      <c r="FF22" s="456"/>
      <c r="FG22" s="456"/>
      <c r="FH22" s="456"/>
      <c r="FI22" s="456"/>
      <c r="FZ22" s="382"/>
      <c r="HW22" s="451" t="s">
        <v>102</v>
      </c>
      <c r="HX22" s="389">
        <f>27508+23007</f>
        <v>50515</v>
      </c>
      <c r="HY22" s="388">
        <f>AW6/1000</f>
        <v>959.66638</v>
      </c>
      <c r="HZ22" s="453">
        <f t="shared" si="67"/>
        <v>1.8997651786598041E-2</v>
      </c>
      <c r="IE22" s="383" t="s">
        <v>21</v>
      </c>
    </row>
    <row r="23" spans="3:241" ht="15" customHeight="1" x14ac:dyDescent="0.25">
      <c r="DH23" s="440"/>
      <c r="DO23" s="438"/>
      <c r="FB23" s="457"/>
      <c r="FC23" s="457"/>
      <c r="FD23" s="457"/>
      <c r="FE23" s="457"/>
      <c r="FF23" s="457"/>
      <c r="FG23" s="457"/>
      <c r="FH23" s="457"/>
      <c r="FI23" s="457"/>
      <c r="FZ23" s="382"/>
      <c r="HW23" s="451" t="s">
        <v>321</v>
      </c>
      <c r="HX23" s="454">
        <f>31897+27889</f>
        <v>59786</v>
      </c>
      <c r="HY23" s="388">
        <f>BI6/1000</f>
        <v>968.05456000000004</v>
      </c>
      <c r="HZ23" s="453">
        <f t="shared" si="67"/>
        <v>1.6191994112333991E-2</v>
      </c>
    </row>
    <row r="24" spans="3:241" ht="15" customHeight="1" x14ac:dyDescent="0.25">
      <c r="DH24" s="440"/>
      <c r="FB24" s="457"/>
      <c r="FC24" s="457"/>
      <c r="FD24" s="457"/>
      <c r="FE24" s="457"/>
      <c r="FF24" s="457"/>
      <c r="FG24" s="457"/>
      <c r="FH24" s="457"/>
      <c r="FI24" s="457"/>
      <c r="FZ24" s="382"/>
      <c r="HW24" s="451" t="s">
        <v>342</v>
      </c>
      <c r="HX24" s="389">
        <f>36159+30438</f>
        <v>66597</v>
      </c>
      <c r="HY24" s="388">
        <f>BU6/1000</f>
        <v>1158.9266500000001</v>
      </c>
      <c r="HZ24" s="453">
        <f t="shared" si="67"/>
        <v>1.7402084928750547E-2</v>
      </c>
    </row>
    <row r="25" spans="3:241" ht="15" customHeight="1" x14ac:dyDescent="0.25">
      <c r="FB25" s="457"/>
      <c r="FC25" s="457"/>
      <c r="FD25" s="457"/>
      <c r="FE25" s="457"/>
      <c r="FF25" s="457"/>
      <c r="FG25" s="457"/>
      <c r="FH25" s="457"/>
      <c r="FI25" s="457"/>
      <c r="FZ25" s="382"/>
      <c r="HW25" s="451" t="s">
        <v>370</v>
      </c>
      <c r="HX25" s="389">
        <v>67642</v>
      </c>
      <c r="HY25" s="388">
        <f>CG6/1000</f>
        <v>1216.1426099999999</v>
      </c>
      <c r="HZ25" s="453">
        <f t="shared" si="67"/>
        <v>1.7979104846101532E-2</v>
      </c>
    </row>
    <row r="26" spans="3:241" ht="15" customHeight="1" x14ac:dyDescent="0.25">
      <c r="FB26" s="457"/>
      <c r="FC26" s="457"/>
      <c r="FD26" s="457"/>
      <c r="FE26" s="457"/>
      <c r="FF26" s="457"/>
      <c r="FG26" s="457"/>
      <c r="FH26" s="457"/>
      <c r="FI26" s="457"/>
      <c r="FZ26" s="382"/>
      <c r="HW26" s="451" t="s">
        <v>374</v>
      </c>
      <c r="HX26" s="389">
        <v>70106</v>
      </c>
      <c r="HY26" s="388">
        <f>CS6/1000</f>
        <v>1036.03224</v>
      </c>
      <c r="HZ26" s="453">
        <f t="shared" si="67"/>
        <v>1.4778082332467976E-2</v>
      </c>
    </row>
    <row r="27" spans="3:241" ht="15" customHeight="1" x14ac:dyDescent="0.25">
      <c r="FB27" s="457"/>
      <c r="FC27" s="457"/>
      <c r="FD27" s="457"/>
      <c r="FE27" s="457"/>
      <c r="FF27" s="457"/>
      <c r="FG27" s="457"/>
      <c r="FH27" s="457"/>
      <c r="FI27" s="457"/>
      <c r="FZ27" s="382"/>
      <c r="HW27" s="451" t="s">
        <v>385</v>
      </c>
      <c r="HX27" s="389">
        <f>37392+33092</f>
        <v>70484</v>
      </c>
      <c r="HY27" s="389">
        <f>DE6/1000</f>
        <v>1030.57744</v>
      </c>
      <c r="HZ27" s="453">
        <f t="shared" ref="HZ27:HZ34" si="68">HY27/HX27</f>
        <v>1.4621438056863969E-2</v>
      </c>
    </row>
    <row r="28" spans="3:241" ht="15" customHeight="1" x14ac:dyDescent="0.25">
      <c r="FB28" s="457"/>
      <c r="FC28" s="457"/>
      <c r="FD28" s="457"/>
      <c r="FE28" s="457"/>
      <c r="FF28" s="457"/>
      <c r="FG28" s="457"/>
      <c r="FH28" s="457"/>
      <c r="FI28" s="457"/>
      <c r="FZ28" s="382"/>
      <c r="HW28" s="451" t="s">
        <v>398</v>
      </c>
      <c r="HX28" s="389">
        <f>36980+29148</f>
        <v>66128</v>
      </c>
      <c r="HY28" s="389">
        <f>DQ6/1000</f>
        <v>972.48115000000007</v>
      </c>
      <c r="HZ28" s="453">
        <f t="shared" si="68"/>
        <v>1.4706042069924995E-2</v>
      </c>
    </row>
    <row r="29" spans="3:241" ht="15" customHeight="1" x14ac:dyDescent="0.25">
      <c r="FB29" s="457"/>
      <c r="FC29" s="457"/>
      <c r="FD29" s="457"/>
      <c r="FE29" s="457"/>
      <c r="FF29" s="457"/>
      <c r="FG29" s="457"/>
      <c r="FH29" s="457"/>
      <c r="FI29" s="457"/>
      <c r="FZ29" s="382"/>
      <c r="HW29" s="451" t="s">
        <v>399</v>
      </c>
      <c r="HX29" s="389">
        <f>37594+32741</f>
        <v>70335</v>
      </c>
      <c r="HY29" s="389">
        <f>EC6/1000</f>
        <v>1138.8156299999998</v>
      </c>
      <c r="HZ29" s="453">
        <f t="shared" si="68"/>
        <v>1.619130774152271E-2</v>
      </c>
    </row>
    <row r="30" spans="3:241" ht="15" customHeight="1" x14ac:dyDescent="0.25">
      <c r="FB30" s="457"/>
      <c r="FC30" s="457"/>
      <c r="FD30" s="457"/>
      <c r="FE30" s="457"/>
      <c r="FF30" s="457"/>
      <c r="FG30" s="457"/>
      <c r="FH30" s="457"/>
      <c r="FI30" s="457"/>
      <c r="HW30" s="451" t="s">
        <v>405</v>
      </c>
      <c r="HX30" s="389">
        <f>38070+32550</f>
        <v>70620</v>
      </c>
      <c r="HY30" s="389">
        <f>EO6/1000</f>
        <v>1169.62373</v>
      </c>
      <c r="HZ30" s="453">
        <f t="shared" si="68"/>
        <v>1.6562216510903428E-2</v>
      </c>
    </row>
    <row r="31" spans="3:241" ht="15" customHeight="1" x14ac:dyDescent="0.25">
      <c r="FB31" s="457"/>
      <c r="FC31" s="457"/>
      <c r="FD31" s="457"/>
      <c r="FE31" s="457"/>
      <c r="FF31" s="457"/>
      <c r="FG31" s="457"/>
      <c r="FH31" s="457"/>
      <c r="FI31" s="457"/>
      <c r="HW31" s="451" t="s">
        <v>412</v>
      </c>
      <c r="HX31" s="389">
        <f>38139+30765</f>
        <v>68904</v>
      </c>
      <c r="HY31" s="389">
        <f>FA6/1000</f>
        <v>1180.9710500000001</v>
      </c>
      <c r="HZ31" s="453">
        <f t="shared" si="68"/>
        <v>1.7139368541739232E-2</v>
      </c>
      <c r="IA31" s="459"/>
    </row>
    <row r="32" spans="3:241" ht="15" customHeight="1" x14ac:dyDescent="0.25">
      <c r="HW32" s="451" t="s">
        <v>414</v>
      </c>
      <c r="HX32" s="389">
        <f>38225+30591</f>
        <v>68816</v>
      </c>
      <c r="HY32" s="389">
        <f>FM6/1000</f>
        <v>1384.8561099999999</v>
      </c>
      <c r="HZ32" s="453">
        <f t="shared" si="68"/>
        <v>2.0124042519181585E-2</v>
      </c>
    </row>
    <row r="33" spans="231:241" ht="15" customHeight="1" x14ac:dyDescent="0.25">
      <c r="HW33" s="451" t="s">
        <v>433</v>
      </c>
      <c r="HX33" s="389">
        <f>37922+29920</f>
        <v>67842</v>
      </c>
      <c r="HY33" s="389">
        <f>FY6/1000</f>
        <v>1305.5041999999999</v>
      </c>
      <c r="HZ33" s="453">
        <f t="shared" si="68"/>
        <v>1.9243303558267737E-2</v>
      </c>
    </row>
    <row r="34" spans="231:241" ht="15" customHeight="1" x14ac:dyDescent="0.25">
      <c r="HW34" s="475" t="s">
        <v>436</v>
      </c>
      <c r="HX34" s="389">
        <f>39385+30746</f>
        <v>70131</v>
      </c>
      <c r="HY34" s="386">
        <f>GK6/1000</f>
        <v>1243.7049100000002</v>
      </c>
      <c r="HZ34" s="453">
        <f t="shared" si="68"/>
        <v>1.7734025038855857E-2</v>
      </c>
      <c r="IE34" s="438"/>
      <c r="IF34" s="438"/>
      <c r="IG34" s="438"/>
    </row>
    <row r="35" spans="231:241" ht="15" customHeight="1" x14ac:dyDescent="0.25">
      <c r="HW35" s="475" t="s">
        <v>438</v>
      </c>
      <c r="HX35" s="389">
        <f>42724+34570</f>
        <v>77294</v>
      </c>
      <c r="HY35" s="386">
        <f>GW6/1000</f>
        <v>1535.8722500000006</v>
      </c>
      <c r="HZ35" s="453">
        <f t="shared" ref="HZ35:HZ36" si="69">HY35/HX35</f>
        <v>1.9870523585271825E-2</v>
      </c>
      <c r="IG35" s="438"/>
    </row>
    <row r="36" spans="231:241" ht="15" customHeight="1" x14ac:dyDescent="0.25">
      <c r="HW36" s="477" t="s">
        <v>440</v>
      </c>
      <c r="HX36" s="478">
        <f>HX35</f>
        <v>77294</v>
      </c>
      <c r="HY36" s="479">
        <f>HI6/1000</f>
        <v>1748.16554</v>
      </c>
      <c r="HZ36" s="476">
        <f t="shared" si="69"/>
        <v>2.2617092400445054E-2</v>
      </c>
    </row>
  </sheetData>
  <sheetProtection selectLockedCells="1"/>
  <mergeCells count="10">
    <mergeCell ref="HW11:IB11"/>
    <mergeCell ref="HW12:IB12"/>
    <mergeCell ref="HW13:IB13"/>
    <mergeCell ref="HW14:IB14"/>
    <mergeCell ref="HW3:IB3"/>
    <mergeCell ref="HW4:IB4"/>
    <mergeCell ref="HW5:IB5"/>
    <mergeCell ref="HW6:IB6"/>
    <mergeCell ref="HW7:IB7"/>
    <mergeCell ref="HW10:IB10"/>
  </mergeCells>
  <phoneticPr fontId="3" type="noConversion"/>
  <pageMargins left="0.75" right="0.75" top="1" bottom="1" header="0.5" footer="0.5"/>
  <pageSetup paperSize="9" orientation="portrait" r:id="rId1"/>
  <headerFooter alignWithMargins="0"/>
  <ignoredErrors>
    <ignoredError sqref="AL2:AO5 AQ2:AR5 AD8 AT2:DE5 DF2:DQ6 DR17 DM8:DS9 DR6:DS6 DR2:FW3 EP9:FA9 EP7:FA7 HY31:HY35 FM11 FM7:FM9 CN12:FO12 FP11:FW12 FP8:FW9 DR10:FW10 FN6:FW6 FN1:FX1 FX6 FX10 FX2:FX3 FX11:FX12 FX7:FX9 GE6:GE7 FY1:GF1 GE9:GE10 FY9:FY10 FY6:FY7 FY2:FY3 FY8 FY11:FY12 FZ9:FZ10 FZ6:FZ7 FZ2:FZ3 FZ8 FZ11:FZ12 GA9:GA10 GA6:GA7 GA2:GA3 GA8 GA11:GA12 GB11:GB12 GB8 GB3 GB6:GB7 GB9:GB10 GC9:GC10 GC6:GC7 GB2:GC2 GC8 GC11:GC12 GC3 GD9:GD10 GD6:GD7 GD2:GD3 GD8 GD11:GD12 GD5 GE2:GE5 GE12 FP7 FR7:FW7 DR5:FW5 DR4:FP4 FX5 FY5 FZ5 GA5 GB5 GC5 FQ4:GD4 GK6:GK7 GK9:GK10 GF9:GF10 GF6:GF7 GF2:GF5 GF8 GF11:GF12 GG1:GK1 GG9:GG10 GG6:GG7 GG2:GG5 GG8 GG11:GG12 GH9:GJ10 GH6:GJ7 GH2:GJ5 GH8:GJ8 GH11:GJ12 GK2:GK5 GL1:GR1 GL10 GL6 GL2:GL5 GK12:GL12 GR10 GR6 GM6 GM10 GM2:GM5 GM11:GM12 GM7:GM9 GN6 GN10 GN2:GN5 GN11:GN12 GN7:GN9 GO6 GO10 GO2:GO5 GO11:GO12 GO7:GO9 GP6 GP10 GP2:GP5 GP11:GP12 GP7:GP9 GQ6 GQ10 GQ11:GQ12 GQ7:GQ9 GQ4:GQ5 GQ2 GQ3:GR3 GR2 GR4:GR5 GR12 GS6 GS10 GS2:GS5 GS11:GS13 GS7:GS9 GS1:GW1 GT6 GT10 GT2:GT5 GT11:GT12 GT7:GT9 GU6 GU10 GU2:GU5 GU11:GU12 GU7:GU9 GV6 GV10 GV2:GV5 GV11:GV12 GV7:GV9 GW6 GW10 GW2:GW5 GW11:GW13 GW7:GW9 GX1:HI1 HG10 GX6 GX10 GX2:GX5 GX11:GX12 GX7:GX9 GY6 GY10 GY2:GY5 GY11:GY12 GY7:GY9 GZ6 GZ10 GZ2:GZ5 GZ11:GZ12 GZ7:GZ9 HA6 HA10 HA2:HA5 HA11:HA12 HA7:HA9 HB6 HB10 HB2:HB5 HB11:HB12 HB7:HB9 HC6 HC10 HC2:HC5 HC11:HC12 HC7:HC9 HD6 HD10 HD2:HD5 HD11:HD12 HD7 HD9 HE6 HE10 HE2:HE5 HE11:HE12 HE7:HE9 HF6:HG6 HF10 HF2:HF5 HF11:HF12 HF7:HF9 HG2:HG5 HG7:HG8 HG12 HH6 HH10 HH2:HH5 HH11:HH12 HH7:HH9 HJ1:HU10 HX36 HI10 HI6 HI2:HI5 HI7:HI9 HI11:HI12 HY36:HZ36" unlockedFormula="1"/>
    <ignoredError sqref="B6:I6 J6:CV6 CW6:DE6 DT6:DX6 EB6:EC6 DY6:EA6 ED6 EH6:EK6 EE6 EF6 EG6 EL6:EO6 EP6:EQ6 ET6:EX6 ER6:ES6 EY6:EZ6 FA6 FB6:FI6 FJ6:FM6" formulaRange="1" unlockedFormula="1"/>
  </ignoredErrors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BD85-585B-4242-83BE-EC1EB80CD9FC}">
  <dimension ref="A1:G23"/>
  <sheetViews>
    <sheetView zoomScale="130" zoomScaleNormal="130" workbookViewId="0">
      <selection activeCell="G14" sqref="G14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434</v>
      </c>
      <c r="B8" s="340" t="s">
        <v>38</v>
      </c>
      <c r="C8" s="340" t="s">
        <v>3</v>
      </c>
      <c r="D8" s="342">
        <v>0</v>
      </c>
      <c r="E8" s="342">
        <v>0</v>
      </c>
      <c r="F8" s="342">
        <v>9063.7999999999993</v>
      </c>
    </row>
    <row r="9" spans="1:7" x14ac:dyDescent="0.25">
      <c r="A9" s="340" t="s">
        <v>434</v>
      </c>
      <c r="B9" s="340" t="s">
        <v>38</v>
      </c>
      <c r="C9" s="340" t="s">
        <v>323</v>
      </c>
      <c r="D9" s="342">
        <v>0</v>
      </c>
      <c r="E9" s="342">
        <v>9.76</v>
      </c>
      <c r="F9" s="342">
        <v>742564.62</v>
      </c>
    </row>
    <row r="10" spans="1:7" x14ac:dyDescent="0.25">
      <c r="A10" s="340" t="s">
        <v>434</v>
      </c>
      <c r="B10" s="340" t="s">
        <v>38</v>
      </c>
      <c r="C10" s="340" t="s">
        <v>41</v>
      </c>
      <c r="D10" s="342">
        <v>41389.89</v>
      </c>
      <c r="E10" s="342">
        <v>58363.43</v>
      </c>
      <c r="F10" s="342">
        <v>910683.26</v>
      </c>
    </row>
    <row r="11" spans="1:7" x14ac:dyDescent="0.25">
      <c r="A11" s="340" t="s">
        <v>434</v>
      </c>
      <c r="B11" s="340" t="s">
        <v>39</v>
      </c>
      <c r="C11" s="340" t="s">
        <v>41</v>
      </c>
      <c r="D11" s="342">
        <v>7763.54</v>
      </c>
      <c r="E11" s="342">
        <v>21056.75</v>
      </c>
      <c r="F11" s="342">
        <v>111729.26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1010436.5800000001</v>
      </c>
      <c r="E14" s="390"/>
      <c r="F14" s="417"/>
    </row>
    <row r="15" spans="1:7" x14ac:dyDescent="0.25">
      <c r="A15" s="336" t="s">
        <v>39</v>
      </c>
      <c r="B15" s="415">
        <f>SUM(D11:F11)</f>
        <v>140549.54999999999</v>
      </c>
    </row>
    <row r="16" spans="1:7" x14ac:dyDescent="0.25">
      <c r="A16" s="336" t="s">
        <v>2</v>
      </c>
      <c r="B16" s="415">
        <f>SUM(D9:F9)</f>
        <v>742574.38</v>
      </c>
    </row>
    <row r="17" spans="1:6" x14ac:dyDescent="0.25">
      <c r="A17" s="336" t="s">
        <v>3</v>
      </c>
      <c r="B17" s="415">
        <f>SUM(D8:F8)</f>
        <v>9063.7999999999993</v>
      </c>
    </row>
    <row r="18" spans="1:6" ht="15.75" thickBot="1" x14ac:dyDescent="0.3">
      <c r="A18" s="361"/>
      <c r="B18" s="416">
        <f>SUM(B14:B17)</f>
        <v>1902624.3100000003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DD5D0-F3D9-4F68-898A-2415872BBE67}">
  <dimension ref="A1:G23"/>
  <sheetViews>
    <sheetView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434</v>
      </c>
      <c r="B8" s="340" t="s">
        <v>38</v>
      </c>
      <c r="C8" s="340" t="s">
        <v>3</v>
      </c>
      <c r="D8" s="342">
        <v>0</v>
      </c>
      <c r="E8" s="342">
        <v>346.02</v>
      </c>
      <c r="F8" s="342">
        <v>8717.7800000000007</v>
      </c>
    </row>
    <row r="9" spans="1:7" x14ac:dyDescent="0.25">
      <c r="A9" s="340" t="s">
        <v>434</v>
      </c>
      <c r="B9" s="340" t="s">
        <v>38</v>
      </c>
      <c r="C9" s="340" t="s">
        <v>323</v>
      </c>
      <c r="D9" s="342">
        <v>3501.73</v>
      </c>
      <c r="E9" s="342">
        <v>1921.32</v>
      </c>
      <c r="F9" s="342">
        <v>741532.65</v>
      </c>
    </row>
    <row r="10" spans="1:7" x14ac:dyDescent="0.25">
      <c r="A10" s="340" t="s">
        <v>434</v>
      </c>
      <c r="B10" s="340" t="s">
        <v>38</v>
      </c>
      <c r="C10" s="340" t="s">
        <v>41</v>
      </c>
      <c r="D10" s="342">
        <v>173693.45</v>
      </c>
      <c r="E10" s="342">
        <v>38596.85</v>
      </c>
      <c r="F10" s="342">
        <v>915728.77</v>
      </c>
    </row>
    <row r="11" spans="1:7" x14ac:dyDescent="0.25">
      <c r="A11" s="340" t="s">
        <v>434</v>
      </c>
      <c r="B11" s="340" t="s">
        <v>39</v>
      </c>
      <c r="C11" s="340" t="s">
        <v>41</v>
      </c>
      <c r="D11" s="342">
        <v>27550.86</v>
      </c>
      <c r="E11" s="342">
        <v>10622.81</v>
      </c>
      <c r="F11" s="342">
        <v>120831.43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1128019.07</v>
      </c>
      <c r="E14" s="390"/>
      <c r="F14" s="417"/>
    </row>
    <row r="15" spans="1:7" x14ac:dyDescent="0.25">
      <c r="A15" s="336" t="s">
        <v>39</v>
      </c>
      <c r="B15" s="415">
        <f>SUM(D11:F11)</f>
        <v>159005.09999999998</v>
      </c>
    </row>
    <row r="16" spans="1:7" x14ac:dyDescent="0.25">
      <c r="A16" s="336" t="s">
        <v>2</v>
      </c>
      <c r="B16" s="415">
        <f>SUM(D9:F9)</f>
        <v>746955.70000000007</v>
      </c>
    </row>
    <row r="17" spans="1:6" x14ac:dyDescent="0.25">
      <c r="A17" s="336" t="s">
        <v>3</v>
      </c>
      <c r="B17" s="415">
        <f>SUM(D8:F8)</f>
        <v>9063.8000000000011</v>
      </c>
    </row>
    <row r="18" spans="1:6" ht="15.75" thickBot="1" x14ac:dyDescent="0.3">
      <c r="A18" s="361"/>
      <c r="B18" s="416">
        <f>SUM(B14:B17)</f>
        <v>2043043.6700000002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195E4-1F40-4220-99C9-A3A65AB08D34}">
  <dimension ref="A1:G23"/>
  <sheetViews>
    <sheetView zoomScale="130" zoomScaleNormal="130" workbookViewId="0">
      <selection activeCell="A7" sqref="A7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434</v>
      </c>
      <c r="B8" s="340" t="s">
        <v>38</v>
      </c>
      <c r="C8" s="340" t="s">
        <v>3</v>
      </c>
      <c r="D8" s="342">
        <v>556.05999999999995</v>
      </c>
      <c r="E8" s="342">
        <v>0</v>
      </c>
      <c r="F8" s="342">
        <v>9113.18</v>
      </c>
    </row>
    <row r="9" spans="1:7" x14ac:dyDescent="0.25">
      <c r="A9" s="340" t="s">
        <v>434</v>
      </c>
      <c r="B9" s="340" t="s">
        <v>38</v>
      </c>
      <c r="C9" s="340" t="s">
        <v>323</v>
      </c>
      <c r="D9" s="342">
        <v>2414.0500000000002</v>
      </c>
      <c r="E9" s="342">
        <v>1.7</v>
      </c>
      <c r="F9" s="342">
        <v>741287.21</v>
      </c>
    </row>
    <row r="10" spans="1:7" x14ac:dyDescent="0.25">
      <c r="A10" s="340" t="s">
        <v>434</v>
      </c>
      <c r="B10" s="340" t="s">
        <v>38</v>
      </c>
      <c r="C10" s="340" t="s">
        <v>41</v>
      </c>
      <c r="D10" s="342">
        <v>150162.45000000001</v>
      </c>
      <c r="E10" s="342">
        <v>60826.8</v>
      </c>
      <c r="F10" s="342">
        <v>901207.57</v>
      </c>
    </row>
    <row r="11" spans="1:7" x14ac:dyDescent="0.25">
      <c r="A11" s="340" t="s">
        <v>434</v>
      </c>
      <c r="B11" s="340" t="s">
        <v>39</v>
      </c>
      <c r="C11" s="340" t="s">
        <v>41</v>
      </c>
      <c r="D11" s="342">
        <v>14041.48</v>
      </c>
      <c r="E11" s="342">
        <v>16080.62</v>
      </c>
      <c r="F11" s="342">
        <v>133825.94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1112196.8199999998</v>
      </c>
      <c r="E14" s="390"/>
      <c r="F14" s="417"/>
    </row>
    <row r="15" spans="1:7" x14ac:dyDescent="0.25">
      <c r="A15" s="336" t="s">
        <v>39</v>
      </c>
      <c r="B15" s="415">
        <f>SUM(D11:F11)</f>
        <v>163948.04</v>
      </c>
    </row>
    <row r="16" spans="1:7" x14ac:dyDescent="0.25">
      <c r="A16" s="336" t="s">
        <v>2</v>
      </c>
      <c r="B16" s="415">
        <f>SUM(D9:F9)</f>
        <v>743702.96</v>
      </c>
    </row>
    <row r="17" spans="1:6" x14ac:dyDescent="0.25">
      <c r="A17" s="336" t="s">
        <v>3</v>
      </c>
      <c r="B17" s="415">
        <f>SUM(D8:F8)</f>
        <v>9669.24</v>
      </c>
    </row>
    <row r="18" spans="1:6" ht="15.75" thickBot="1" x14ac:dyDescent="0.3">
      <c r="A18" s="361"/>
      <c r="B18" s="416">
        <f>SUM(B14:B17)</f>
        <v>2029517.0599999998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2CC7F-BCCF-4D53-9809-A91FE6626544}">
  <dimension ref="A1:G23"/>
  <sheetViews>
    <sheetView zoomScale="130" zoomScaleNormal="130" workbookViewId="0">
      <selection activeCell="D11" sqref="D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415</v>
      </c>
      <c r="B8" s="340" t="s">
        <v>38</v>
      </c>
      <c r="C8" s="340" t="s">
        <v>3</v>
      </c>
      <c r="D8" s="342">
        <v>0</v>
      </c>
      <c r="E8" s="342">
        <v>0</v>
      </c>
      <c r="F8" s="342">
        <v>9088.49</v>
      </c>
    </row>
    <row r="9" spans="1:7" x14ac:dyDescent="0.25">
      <c r="A9" s="340" t="s">
        <v>415</v>
      </c>
      <c r="B9" s="340" t="s">
        <v>38</v>
      </c>
      <c r="C9" s="340" t="s">
        <v>323</v>
      </c>
      <c r="D9" s="342">
        <v>3.26</v>
      </c>
      <c r="E9" s="342">
        <v>9.31</v>
      </c>
      <c r="F9" s="342">
        <v>762888.37</v>
      </c>
    </row>
    <row r="10" spans="1:7" x14ac:dyDescent="0.25">
      <c r="A10" s="340" t="s">
        <v>415</v>
      </c>
      <c r="B10" s="340" t="s">
        <v>38</v>
      </c>
      <c r="C10" s="340" t="s">
        <v>41</v>
      </c>
      <c r="D10" s="342">
        <v>148268.92000000001</v>
      </c>
      <c r="E10" s="342">
        <v>58773.57</v>
      </c>
      <c r="F10" s="342">
        <v>893240.08</v>
      </c>
    </row>
    <row r="11" spans="1:7" x14ac:dyDescent="0.25">
      <c r="A11" s="340" t="s">
        <v>415</v>
      </c>
      <c r="B11" s="340" t="s">
        <v>39</v>
      </c>
      <c r="C11" s="340" t="s">
        <v>41</v>
      </c>
      <c r="D11" s="342">
        <v>20295.099999999999</v>
      </c>
      <c r="E11" s="342">
        <v>23617.73</v>
      </c>
      <c r="F11" s="342">
        <v>130595.11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1100282.57</v>
      </c>
      <c r="E14" s="390"/>
      <c r="F14" s="417"/>
    </row>
    <row r="15" spans="1:7" x14ac:dyDescent="0.25">
      <c r="A15" s="336" t="s">
        <v>39</v>
      </c>
      <c r="B15" s="415">
        <f>SUM(D11:F11)</f>
        <v>174507.94</v>
      </c>
    </row>
    <row r="16" spans="1:7" x14ac:dyDescent="0.25">
      <c r="A16" s="336" t="s">
        <v>2</v>
      </c>
      <c r="B16" s="415">
        <f>SUM(D9:F9)</f>
        <v>762900.94</v>
      </c>
    </row>
    <row r="17" spans="1:6" x14ac:dyDescent="0.25">
      <c r="A17" s="336" t="s">
        <v>3</v>
      </c>
      <c r="B17" s="415">
        <f>SUM(D8:F8)</f>
        <v>9088.49</v>
      </c>
    </row>
    <row r="18" spans="1:6" ht="15.75" thickBot="1" x14ac:dyDescent="0.3">
      <c r="A18" s="361"/>
      <c r="B18" s="416">
        <f>SUM(B14:B17)</f>
        <v>2046779.94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91410-664D-4B99-A2F8-2F6D8576A6DA}">
  <dimension ref="A1:G23"/>
  <sheetViews>
    <sheetView zoomScale="130" zoomScaleNormal="130" workbookViewId="0">
      <selection activeCell="B14" sqref="B14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415</v>
      </c>
      <c r="B8" s="340" t="s">
        <v>38</v>
      </c>
      <c r="C8" s="340" t="s">
        <v>3</v>
      </c>
      <c r="D8" s="342">
        <v>0</v>
      </c>
      <c r="E8" s="342">
        <v>497.35</v>
      </c>
      <c r="F8" s="342">
        <v>8631.33</v>
      </c>
    </row>
    <row r="9" spans="1:7" x14ac:dyDescent="0.25">
      <c r="A9" s="340" t="s">
        <v>415</v>
      </c>
      <c r="B9" s="340" t="s">
        <v>38</v>
      </c>
      <c r="C9" s="340" t="s">
        <v>323</v>
      </c>
      <c r="D9" s="342">
        <v>8374.01</v>
      </c>
      <c r="E9" s="342">
        <v>0</v>
      </c>
      <c r="F9" s="342">
        <v>763377.16</v>
      </c>
    </row>
    <row r="10" spans="1:7" x14ac:dyDescent="0.25">
      <c r="A10" s="340" t="s">
        <v>415</v>
      </c>
      <c r="B10" s="340" t="s">
        <v>38</v>
      </c>
      <c r="C10" s="340" t="s">
        <v>41</v>
      </c>
      <c r="D10" s="342">
        <v>82272.3</v>
      </c>
      <c r="E10" s="342">
        <v>21677.71</v>
      </c>
      <c r="F10" s="342">
        <v>915114.9</v>
      </c>
    </row>
    <row r="11" spans="1:7" x14ac:dyDescent="0.25">
      <c r="A11" s="340" t="s">
        <v>415</v>
      </c>
      <c r="B11" s="340" t="s">
        <v>39</v>
      </c>
      <c r="C11" s="340" t="s">
        <v>41</v>
      </c>
      <c r="D11" s="342">
        <v>30201.84</v>
      </c>
      <c r="E11" s="342">
        <v>6622.04</v>
      </c>
      <c r="F11" s="342">
        <v>140804.76999999999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1019064.91</v>
      </c>
      <c r="E14" s="390"/>
      <c r="F14" s="417"/>
    </row>
    <row r="15" spans="1:7" x14ac:dyDescent="0.25">
      <c r="A15" s="336" t="s">
        <v>39</v>
      </c>
      <c r="B15" s="415">
        <f>SUM(D11:F11)</f>
        <v>177628.65</v>
      </c>
    </row>
    <row r="16" spans="1:7" x14ac:dyDescent="0.25">
      <c r="A16" s="336" t="s">
        <v>2</v>
      </c>
      <c r="B16" s="415">
        <f>SUM(D9:F9)</f>
        <v>771751.17</v>
      </c>
    </row>
    <row r="17" spans="1:6" x14ac:dyDescent="0.25">
      <c r="A17" s="336" t="s">
        <v>3</v>
      </c>
      <c r="B17" s="415">
        <f>SUM(D8:F8)</f>
        <v>9128.68</v>
      </c>
    </row>
    <row r="18" spans="1:6" ht="15.75" thickBot="1" x14ac:dyDescent="0.3">
      <c r="A18" s="361"/>
      <c r="B18" s="416">
        <f>SUM(B14:B17)</f>
        <v>1977573.41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DFAE-9457-485D-9121-26E0FDA09FAD}">
  <dimension ref="A1:G23"/>
  <sheetViews>
    <sheetView zoomScale="130" zoomScaleNormal="130" workbookViewId="0">
      <selection activeCell="G30" sqref="G3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415</v>
      </c>
      <c r="B8" s="340" t="s">
        <v>38</v>
      </c>
      <c r="C8" s="340" t="s">
        <v>3</v>
      </c>
      <c r="D8" s="342">
        <v>497.35</v>
      </c>
      <c r="E8" s="342">
        <v>0</v>
      </c>
      <c r="F8" s="342">
        <v>8631.33</v>
      </c>
    </row>
    <row r="9" spans="1:7" x14ac:dyDescent="0.25">
      <c r="A9" s="340" t="s">
        <v>415</v>
      </c>
      <c r="B9" s="340" t="s">
        <v>38</v>
      </c>
      <c r="C9" s="340" t="s">
        <v>323</v>
      </c>
      <c r="D9" s="342">
        <v>604.76</v>
      </c>
      <c r="E9" s="342">
        <v>751.09</v>
      </c>
      <c r="F9" s="342">
        <v>766369.07</v>
      </c>
    </row>
    <row r="10" spans="1:7" x14ac:dyDescent="0.25">
      <c r="A10" s="340" t="s">
        <v>415</v>
      </c>
      <c r="B10" s="340" t="s">
        <v>38</v>
      </c>
      <c r="C10" s="340" t="s">
        <v>41</v>
      </c>
      <c r="D10" s="342">
        <v>30031.51</v>
      </c>
      <c r="E10" s="342">
        <v>39632.379999999997</v>
      </c>
      <c r="F10" s="342">
        <v>919163.84</v>
      </c>
    </row>
    <row r="11" spans="1:7" x14ac:dyDescent="0.25">
      <c r="A11" s="340" t="s">
        <v>415</v>
      </c>
      <c r="B11" s="340" t="s">
        <v>39</v>
      </c>
      <c r="C11" s="340" t="s">
        <v>41</v>
      </c>
      <c r="D11" s="342">
        <v>7991.02</v>
      </c>
      <c r="E11" s="342">
        <v>8677.52</v>
      </c>
      <c r="F11" s="342">
        <v>153899.28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988827.73</v>
      </c>
      <c r="E14" s="390"/>
      <c r="F14" s="417"/>
    </row>
    <row r="15" spans="1:7" x14ac:dyDescent="0.25">
      <c r="A15" s="336" t="s">
        <v>39</v>
      </c>
      <c r="B15" s="415">
        <f>SUM(D11:F11)</f>
        <v>170567.82</v>
      </c>
    </row>
    <row r="16" spans="1:7" x14ac:dyDescent="0.25">
      <c r="A16" s="336" t="s">
        <v>2</v>
      </c>
      <c r="B16" s="415">
        <f>SUM(D9:F9)</f>
        <v>767724.91999999993</v>
      </c>
    </row>
    <row r="17" spans="1:6" x14ac:dyDescent="0.25">
      <c r="A17" s="336" t="s">
        <v>3</v>
      </c>
      <c r="B17" s="415">
        <f>SUM(D8:F8)</f>
        <v>9128.68</v>
      </c>
    </row>
    <row r="18" spans="1:6" ht="15.75" thickBot="1" x14ac:dyDescent="0.3">
      <c r="A18" s="361"/>
      <c r="B18" s="416">
        <f>SUM(B14:B17)</f>
        <v>1936249.15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B30E-EAEB-4F7C-AFAC-AB17FE043A3A}">
  <dimension ref="A1:G23"/>
  <sheetViews>
    <sheetView zoomScale="130" zoomScaleNormal="130" workbookViewId="0">
      <selection activeCell="G28" sqref="G28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415</v>
      </c>
      <c r="B8" s="340" t="s">
        <v>38</v>
      </c>
      <c r="C8" s="340" t="s">
        <v>3</v>
      </c>
      <c r="D8" s="342">
        <v>0</v>
      </c>
      <c r="E8" s="342">
        <v>0</v>
      </c>
      <c r="F8" s="342">
        <v>8609.17</v>
      </c>
    </row>
    <row r="9" spans="1:7" x14ac:dyDescent="0.25">
      <c r="A9" s="340" t="s">
        <v>415</v>
      </c>
      <c r="B9" s="340" t="s">
        <v>38</v>
      </c>
      <c r="C9" s="340" t="s">
        <v>323</v>
      </c>
      <c r="D9" s="342">
        <v>751.91</v>
      </c>
      <c r="E9" s="342">
        <v>484.86</v>
      </c>
      <c r="F9" s="342">
        <v>765884.21</v>
      </c>
    </row>
    <row r="10" spans="1:7" x14ac:dyDescent="0.25">
      <c r="A10" s="340" t="s">
        <v>415</v>
      </c>
      <c r="B10" s="340" t="s">
        <v>38</v>
      </c>
      <c r="C10" s="340" t="s">
        <v>41</v>
      </c>
      <c r="D10" s="342">
        <v>121714.03</v>
      </c>
      <c r="E10" s="342">
        <v>62571.26</v>
      </c>
      <c r="F10" s="342">
        <v>906722.09</v>
      </c>
    </row>
    <row r="11" spans="1:7" x14ac:dyDescent="0.25">
      <c r="A11" s="340" t="s">
        <v>415</v>
      </c>
      <c r="B11" s="340" t="s">
        <v>39</v>
      </c>
      <c r="C11" s="340" t="s">
        <v>41</v>
      </c>
      <c r="D11" s="342">
        <v>10054.700000000001</v>
      </c>
      <c r="E11" s="342">
        <v>24279.53</v>
      </c>
      <c r="F11" s="342">
        <v>150689.54999999999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1091007.3799999999</v>
      </c>
      <c r="E14" s="390"/>
      <c r="F14" s="417"/>
    </row>
    <row r="15" spans="1:7" x14ac:dyDescent="0.25">
      <c r="A15" s="336" t="s">
        <v>39</v>
      </c>
      <c r="B15" s="415">
        <f>SUM(D11:F11)</f>
        <v>185023.77999999997</v>
      </c>
    </row>
    <row r="16" spans="1:7" x14ac:dyDescent="0.25">
      <c r="A16" s="336" t="s">
        <v>2</v>
      </c>
      <c r="B16" s="415">
        <f>SUM(D9:F9)</f>
        <v>767120.98</v>
      </c>
    </row>
    <row r="17" spans="1:6" x14ac:dyDescent="0.25">
      <c r="A17" s="336" t="s">
        <v>3</v>
      </c>
      <c r="B17" s="415">
        <f>SUM(D8:F8)</f>
        <v>8609.17</v>
      </c>
    </row>
    <row r="18" spans="1:6" ht="15.75" thickBot="1" x14ac:dyDescent="0.3">
      <c r="A18" s="361"/>
      <c r="B18" s="416">
        <f>SUM(B14:B17)</f>
        <v>2051761.3099999998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A07D-6F12-45C6-91CC-9B0F17764BBF}">
  <dimension ref="A1:G23"/>
  <sheetViews>
    <sheetView zoomScale="130" zoomScaleNormal="130" workbookViewId="0">
      <selection activeCell="C10" sqref="C1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415</v>
      </c>
      <c r="B8" s="340" t="s">
        <v>38</v>
      </c>
      <c r="C8" s="340" t="s">
        <v>3</v>
      </c>
      <c r="D8" s="342">
        <v>0</v>
      </c>
      <c r="E8" s="342">
        <v>577.08000000000004</v>
      </c>
      <c r="F8" s="342">
        <v>8112.41</v>
      </c>
    </row>
    <row r="9" spans="1:7" x14ac:dyDescent="0.25">
      <c r="A9" s="340" t="s">
        <v>415</v>
      </c>
      <c r="B9" s="340" t="s">
        <v>38</v>
      </c>
      <c r="C9" s="340" t="s">
        <v>323</v>
      </c>
      <c r="D9" s="342">
        <v>484.86</v>
      </c>
      <c r="E9" s="342">
        <v>555.16</v>
      </c>
      <c r="F9" s="342">
        <v>765575.16</v>
      </c>
    </row>
    <row r="10" spans="1:7" x14ac:dyDescent="0.25">
      <c r="A10" s="340" t="s">
        <v>415</v>
      </c>
      <c r="B10" s="340" t="s">
        <v>38</v>
      </c>
      <c r="C10" s="340" t="s">
        <v>41</v>
      </c>
      <c r="D10" s="342">
        <v>157406.95000000001</v>
      </c>
      <c r="E10" s="342">
        <v>34743.1</v>
      </c>
      <c r="F10" s="342">
        <v>967302.36</v>
      </c>
    </row>
    <row r="11" spans="1:7" x14ac:dyDescent="0.25">
      <c r="A11" s="340" t="s">
        <v>415</v>
      </c>
      <c r="B11" s="340" t="s">
        <v>39</v>
      </c>
      <c r="C11" s="340" t="s">
        <v>41</v>
      </c>
      <c r="D11" s="342">
        <v>27452.15</v>
      </c>
      <c r="E11" s="342">
        <v>10961.89</v>
      </c>
      <c r="F11" s="342">
        <v>153710.20000000001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1159452.4099999999</v>
      </c>
      <c r="E14" s="390"/>
      <c r="F14" s="417"/>
    </row>
    <row r="15" spans="1:7" x14ac:dyDescent="0.25">
      <c r="A15" s="336" t="s">
        <v>39</v>
      </c>
      <c r="B15" s="415">
        <f>SUM(D11:F11)</f>
        <v>192124.24000000002</v>
      </c>
    </row>
    <row r="16" spans="1:7" x14ac:dyDescent="0.25">
      <c r="A16" s="336" t="s">
        <v>2</v>
      </c>
      <c r="B16" s="415">
        <f>SUM(D9:F9)</f>
        <v>766615.18</v>
      </c>
    </row>
    <row r="17" spans="1:6" x14ac:dyDescent="0.25">
      <c r="A17" s="336" t="s">
        <v>3</v>
      </c>
      <c r="B17" s="415">
        <f>SUM(D8:F8)</f>
        <v>8689.49</v>
      </c>
    </row>
    <row r="18" spans="1:6" ht="15.75" thickBot="1" x14ac:dyDescent="0.3">
      <c r="A18" s="361"/>
      <c r="B18" s="416">
        <f>SUM(B14:B17)</f>
        <v>2126881.3200000003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8585-7A93-4E17-A559-BC0989C46AD6}">
  <dimension ref="A1:G23"/>
  <sheetViews>
    <sheetView zoomScale="130" zoomScaleNormal="130" workbookViewId="0">
      <selection activeCell="F10" sqref="F1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415</v>
      </c>
      <c r="B8" s="340" t="s">
        <v>38</v>
      </c>
      <c r="C8" s="340" t="s">
        <v>3</v>
      </c>
      <c r="D8" s="342">
        <v>0</v>
      </c>
      <c r="E8" s="342">
        <v>0</v>
      </c>
      <c r="F8" s="342">
        <v>8091.8</v>
      </c>
    </row>
    <row r="9" spans="1:7" x14ac:dyDescent="0.25">
      <c r="A9" s="340" t="s">
        <v>415</v>
      </c>
      <c r="B9" s="340" t="s">
        <v>38</v>
      </c>
      <c r="C9" s="340" t="s">
        <v>323</v>
      </c>
      <c r="D9" s="342">
        <v>521.51</v>
      </c>
      <c r="E9" s="342">
        <v>503.61</v>
      </c>
      <c r="F9" s="342">
        <f>764582.14</f>
        <v>764582.14</v>
      </c>
    </row>
    <row r="10" spans="1:7" x14ac:dyDescent="0.25">
      <c r="A10" s="340" t="s">
        <v>415</v>
      </c>
      <c r="B10" s="340" t="s">
        <v>38</v>
      </c>
      <c r="C10" s="340" t="s">
        <v>41</v>
      </c>
      <c r="D10" s="342">
        <v>70947.22</v>
      </c>
      <c r="E10" s="342">
        <v>63117.599999999999</v>
      </c>
      <c r="F10" s="342">
        <v>1022113.01</v>
      </c>
    </row>
    <row r="11" spans="1:7" x14ac:dyDescent="0.25">
      <c r="A11" s="340" t="s">
        <v>415</v>
      </c>
      <c r="B11" s="340" t="s">
        <v>39</v>
      </c>
      <c r="C11" s="340" t="s">
        <v>41</v>
      </c>
      <c r="D11" s="342">
        <v>12729.67</v>
      </c>
      <c r="E11" s="342">
        <v>18191.05</v>
      </c>
      <c r="F11" s="342">
        <v>141194.68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1156177.83</v>
      </c>
      <c r="E14" s="390"/>
      <c r="F14" s="417"/>
    </row>
    <row r="15" spans="1:7" x14ac:dyDescent="0.25">
      <c r="A15" s="336" t="s">
        <v>39</v>
      </c>
      <c r="B15" s="415">
        <f>SUM(D11:F11)</f>
        <v>172115.4</v>
      </c>
    </row>
    <row r="16" spans="1:7" x14ac:dyDescent="0.25">
      <c r="A16" s="336" t="s">
        <v>2</v>
      </c>
      <c r="B16" s="415">
        <f>SUM(D9:F9)</f>
        <v>765607.26</v>
      </c>
    </row>
    <row r="17" spans="1:6" x14ac:dyDescent="0.25">
      <c r="A17" s="336" t="s">
        <v>3</v>
      </c>
      <c r="B17" s="415">
        <f>SUM(D8:F8)</f>
        <v>8091.8</v>
      </c>
    </row>
    <row r="18" spans="1:6" ht="15.75" thickBot="1" x14ac:dyDescent="0.3">
      <c r="A18" s="361"/>
      <c r="B18" s="416">
        <f>SUM(B14:B17)</f>
        <v>2101992.29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CBDB-0E0C-4E3B-8DA9-DE6B1C7612D2}">
  <dimension ref="A1:G23"/>
  <sheetViews>
    <sheetView zoomScale="130" zoomScaleNormal="130" workbookViewId="0">
      <selection activeCell="F10" sqref="F1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415</v>
      </c>
      <c r="B8" s="340" t="s">
        <v>38</v>
      </c>
      <c r="C8" s="340" t="s">
        <v>3</v>
      </c>
      <c r="D8" s="342">
        <v>577.08000000000004</v>
      </c>
      <c r="E8" s="342">
        <v>0</v>
      </c>
      <c r="F8" s="342">
        <v>8112.41</v>
      </c>
    </row>
    <row r="9" spans="1:7" x14ac:dyDescent="0.25">
      <c r="A9" s="340" t="s">
        <v>415</v>
      </c>
      <c r="B9" s="340" t="s">
        <v>38</v>
      </c>
      <c r="C9" s="340" t="s">
        <v>323</v>
      </c>
      <c r="D9" s="342">
        <v>10640.11</v>
      </c>
      <c r="E9" s="342">
        <v>484.94</v>
      </c>
      <c r="F9" s="342">
        <f>765088.19</f>
        <v>765088.19</v>
      </c>
    </row>
    <row r="10" spans="1:7" x14ac:dyDescent="0.25">
      <c r="A10" s="340" t="s">
        <v>415</v>
      </c>
      <c r="B10" s="340" t="s">
        <v>38</v>
      </c>
      <c r="C10" s="340" t="s">
        <v>41</v>
      </c>
      <c r="D10" s="342">
        <v>54605.69</v>
      </c>
      <c r="E10" s="342">
        <v>51267.18</v>
      </c>
      <c r="F10" s="342">
        <v>1024718.86</v>
      </c>
    </row>
    <row r="11" spans="1:7" x14ac:dyDescent="0.25">
      <c r="A11" s="340" t="s">
        <v>415</v>
      </c>
      <c r="B11" s="340" t="s">
        <v>39</v>
      </c>
      <c r="C11" s="340" t="s">
        <v>41</v>
      </c>
      <c r="D11" s="342">
        <v>15341.2</v>
      </c>
      <c r="E11" s="342">
        <v>11834.71</v>
      </c>
      <c r="F11" s="342">
        <v>152445.51999999999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1130591.73</v>
      </c>
      <c r="E14" s="390"/>
      <c r="F14" s="417"/>
    </row>
    <row r="15" spans="1:7" x14ac:dyDescent="0.25">
      <c r="A15" s="336" t="s">
        <v>39</v>
      </c>
      <c r="B15" s="415">
        <f>SUM(D11:F11)</f>
        <v>179621.43</v>
      </c>
    </row>
    <row r="16" spans="1:7" x14ac:dyDescent="0.25">
      <c r="A16" s="336" t="s">
        <v>2</v>
      </c>
      <c r="B16" s="415">
        <f>SUM(D9:F9)</f>
        <v>776213.24</v>
      </c>
    </row>
    <row r="17" spans="1:6" x14ac:dyDescent="0.25">
      <c r="A17" s="336" t="s">
        <v>3</v>
      </c>
      <c r="B17" s="415">
        <f>SUM(D8:F8)</f>
        <v>8689.49</v>
      </c>
    </row>
    <row r="18" spans="1:6" ht="15.75" thickBot="1" x14ac:dyDescent="0.3">
      <c r="A18" s="361"/>
      <c r="B18" s="416">
        <f>SUM(B14:B17)</f>
        <v>2095115.89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32DBC-5658-402B-9AE0-885DBC14AFEC}">
  <sheetPr>
    <tabColor theme="1"/>
  </sheetPr>
  <dimension ref="A1:S31"/>
  <sheetViews>
    <sheetView zoomScale="130" zoomScaleNormal="130" workbookViewId="0">
      <selection activeCell="I9" sqref="I9"/>
    </sheetView>
  </sheetViews>
  <sheetFormatPr defaultRowHeight="12.75" x14ac:dyDescent="0.2"/>
  <cols>
    <col min="7" max="7" width="10.42578125" bestFit="1" customWidth="1"/>
    <col min="8" max="8" width="10.140625" bestFit="1" customWidth="1"/>
    <col min="9" max="9" width="13.140625" customWidth="1"/>
    <col min="10" max="10" width="13" bestFit="1" customWidth="1"/>
  </cols>
  <sheetData>
    <row r="1" spans="1:11" x14ac:dyDescent="0.2">
      <c r="A1" t="s">
        <v>32</v>
      </c>
      <c r="B1" t="s">
        <v>416</v>
      </c>
      <c r="C1" t="s">
        <v>417</v>
      </c>
      <c r="D1" t="s">
        <v>418</v>
      </c>
      <c r="E1" t="s">
        <v>343</v>
      </c>
      <c r="F1" t="s">
        <v>80</v>
      </c>
      <c r="G1" t="s">
        <v>34</v>
      </c>
      <c r="H1" t="s">
        <v>35</v>
      </c>
      <c r="I1" t="s">
        <v>36</v>
      </c>
    </row>
    <row r="2" spans="1:11" x14ac:dyDescent="0.2">
      <c r="A2" t="s">
        <v>415</v>
      </c>
      <c r="B2" t="s">
        <v>419</v>
      </c>
      <c r="C2" t="s">
        <v>420</v>
      </c>
      <c r="D2" t="s">
        <v>421</v>
      </c>
      <c r="E2" t="s">
        <v>351</v>
      </c>
      <c r="F2" t="s">
        <v>21</v>
      </c>
      <c r="G2" s="418">
        <v>45243.06</v>
      </c>
      <c r="H2" s="418">
        <v>71883.820000000007</v>
      </c>
      <c r="I2" s="418">
        <v>56595.77</v>
      </c>
      <c r="J2" s="418">
        <f>SUM(G2:I2)</f>
        <v>173722.65</v>
      </c>
    </row>
    <row r="7" spans="1:11" x14ac:dyDescent="0.2">
      <c r="I7" t="s">
        <v>422</v>
      </c>
      <c r="J7" s="52">
        <f>'Monthly Summary'!FP6</f>
        <v>1492414.2999999998</v>
      </c>
    </row>
    <row r="8" spans="1:11" x14ac:dyDescent="0.2">
      <c r="I8" t="s">
        <v>423</v>
      </c>
      <c r="J8" s="52">
        <f>J2</f>
        <v>173722.65</v>
      </c>
    </row>
    <row r="9" spans="1:11" x14ac:dyDescent="0.2">
      <c r="I9" t="s">
        <v>424</v>
      </c>
      <c r="J9" s="52">
        <f>J7-J8</f>
        <v>1318691.6499999999</v>
      </c>
    </row>
    <row r="10" spans="1:11" x14ac:dyDescent="0.2">
      <c r="J10" s="52"/>
    </row>
    <row r="11" spans="1:11" x14ac:dyDescent="0.2">
      <c r="I11" t="s">
        <v>425</v>
      </c>
      <c r="J11" s="52">
        <f>'Monthly Summary'!FV6</f>
        <v>1310485.5699999998</v>
      </c>
    </row>
    <row r="12" spans="1:11" x14ac:dyDescent="0.2">
      <c r="I12" t="s">
        <v>423</v>
      </c>
      <c r="J12" s="52">
        <f>J21</f>
        <v>71924.009999999995</v>
      </c>
      <c r="K12" t="s">
        <v>429</v>
      </c>
    </row>
    <row r="13" spans="1:11" x14ac:dyDescent="0.2">
      <c r="I13" t="s">
        <v>426</v>
      </c>
      <c r="J13" s="52">
        <f>I25</f>
        <v>741275.74</v>
      </c>
    </row>
    <row r="14" spans="1:11" x14ac:dyDescent="0.2">
      <c r="I14" t="s">
        <v>424</v>
      </c>
      <c r="J14" s="52">
        <f>J11-J12-J13</f>
        <v>497285.81999999983</v>
      </c>
    </row>
    <row r="15" spans="1:11" x14ac:dyDescent="0.2">
      <c r="J15" s="52"/>
    </row>
    <row r="16" spans="1:11" x14ac:dyDescent="0.2">
      <c r="I16" t="s">
        <v>428</v>
      </c>
      <c r="J16" s="52">
        <f>J9-J14</f>
        <v>821405.83000000007</v>
      </c>
    </row>
    <row r="20" spans="1:19" x14ac:dyDescent="0.2">
      <c r="A20" t="s">
        <v>32</v>
      </c>
      <c r="B20" t="s">
        <v>416</v>
      </c>
      <c r="C20" t="s">
        <v>417</v>
      </c>
      <c r="D20" t="s">
        <v>418</v>
      </c>
      <c r="E20" t="s">
        <v>343</v>
      </c>
      <c r="F20" t="s">
        <v>80</v>
      </c>
      <c r="G20" t="s">
        <v>34</v>
      </c>
      <c r="H20" t="s">
        <v>35</v>
      </c>
      <c r="I20" t="s">
        <v>36</v>
      </c>
    </row>
    <row r="21" spans="1:19" x14ac:dyDescent="0.2">
      <c r="A21" t="s">
        <v>415</v>
      </c>
      <c r="B21" t="s">
        <v>419</v>
      </c>
      <c r="C21" t="s">
        <v>420</v>
      </c>
      <c r="D21" t="s">
        <v>421</v>
      </c>
      <c r="E21" t="s">
        <v>351</v>
      </c>
      <c r="F21" t="s">
        <v>21</v>
      </c>
      <c r="G21" s="418">
        <v>70679.45</v>
      </c>
      <c r="H21" s="418">
        <v>1244.56</v>
      </c>
      <c r="I21" s="418">
        <v>0</v>
      </c>
      <c r="J21" s="418">
        <f>SUM(G21:I21)</f>
        <v>71924.009999999995</v>
      </c>
      <c r="L21" s="465" t="s">
        <v>432</v>
      </c>
      <c r="M21" s="465"/>
      <c r="N21" s="465"/>
      <c r="O21" s="465"/>
      <c r="P21" s="465"/>
      <c r="Q21" s="465"/>
      <c r="R21" s="465"/>
      <c r="S21" s="465"/>
    </row>
    <row r="24" spans="1:19" x14ac:dyDescent="0.2">
      <c r="A24" t="s">
        <v>32</v>
      </c>
      <c r="B24" t="s">
        <v>416</v>
      </c>
      <c r="C24" t="s">
        <v>417</v>
      </c>
      <c r="D24" t="s">
        <v>418</v>
      </c>
      <c r="E24" t="s">
        <v>343</v>
      </c>
      <c r="F24" t="s">
        <v>80</v>
      </c>
      <c r="G24" t="s">
        <v>34</v>
      </c>
      <c r="H24" t="s">
        <v>35</v>
      </c>
      <c r="I24" t="s">
        <v>36</v>
      </c>
    </row>
    <row r="25" spans="1:19" x14ac:dyDescent="0.2">
      <c r="A25" t="s">
        <v>415</v>
      </c>
      <c r="B25" t="s">
        <v>21</v>
      </c>
      <c r="C25" t="s">
        <v>427</v>
      </c>
      <c r="D25">
        <v>30105305</v>
      </c>
      <c r="E25" t="s">
        <v>21</v>
      </c>
      <c r="F25" t="s">
        <v>21</v>
      </c>
      <c r="G25" s="418">
        <v>0</v>
      </c>
      <c r="H25" s="418">
        <v>0</v>
      </c>
      <c r="I25" s="418">
        <v>741275.74</v>
      </c>
    </row>
    <row r="29" spans="1:19" x14ac:dyDescent="0.2">
      <c r="A29" s="464">
        <v>44682</v>
      </c>
    </row>
    <row r="30" spans="1:19" x14ac:dyDescent="0.2">
      <c r="A30" s="465" t="s">
        <v>430</v>
      </c>
    </row>
    <row r="31" spans="1:19" x14ac:dyDescent="0.2">
      <c r="A31" s="465" t="s">
        <v>431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zoomScale="130" zoomScaleNormal="130" workbookViewId="0">
      <selection activeCell="E10" sqref="E1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415</v>
      </c>
      <c r="B8" s="340" t="s">
        <v>38</v>
      </c>
      <c r="C8" s="340" t="s">
        <v>3</v>
      </c>
      <c r="D8" s="342">
        <v>0</v>
      </c>
      <c r="E8" s="342">
        <v>443.65</v>
      </c>
      <c r="F8" s="342">
        <v>7727.41</v>
      </c>
    </row>
    <row r="9" spans="1:7" x14ac:dyDescent="0.25">
      <c r="A9" s="340" t="s">
        <v>415</v>
      </c>
      <c r="B9" s="340" t="s">
        <v>38</v>
      </c>
      <c r="C9" s="340" t="s">
        <v>323</v>
      </c>
      <c r="D9" s="342">
        <v>2911.4</v>
      </c>
      <c r="E9" s="342">
        <f>763387.07</f>
        <v>763387.07</v>
      </c>
      <c r="F9" s="342">
        <v>1205.4000000000001</v>
      </c>
    </row>
    <row r="10" spans="1:7" x14ac:dyDescent="0.25">
      <c r="A10" s="340" t="s">
        <v>415</v>
      </c>
      <c r="B10" s="340" t="s">
        <v>38</v>
      </c>
      <c r="C10" s="340" t="s">
        <v>41</v>
      </c>
      <c r="D10" s="342">
        <v>72550.28</v>
      </c>
      <c r="E10" s="342">
        <v>43669.04</v>
      </c>
      <c r="F10" s="342">
        <v>1023042.8</v>
      </c>
    </row>
    <row r="11" spans="1:7" x14ac:dyDescent="0.25">
      <c r="A11" s="340" t="s">
        <v>415</v>
      </c>
      <c r="B11" s="340" t="s">
        <v>39</v>
      </c>
      <c r="C11" s="340" t="s">
        <v>41</v>
      </c>
      <c r="D11" s="342">
        <v>21153.56</v>
      </c>
      <c r="E11" s="342">
        <v>13451.95</v>
      </c>
      <c r="F11" s="342">
        <v>135575.01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1139262.1200000001</v>
      </c>
      <c r="E14" s="390"/>
      <c r="F14" s="417"/>
    </row>
    <row r="15" spans="1:7" x14ac:dyDescent="0.25">
      <c r="A15" s="336" t="s">
        <v>39</v>
      </c>
      <c r="B15" s="415">
        <f>SUM(D11:F11)</f>
        <v>170180.52000000002</v>
      </c>
    </row>
    <row r="16" spans="1:7" x14ac:dyDescent="0.25">
      <c r="A16" s="336" t="s">
        <v>2</v>
      </c>
      <c r="B16" s="415">
        <f>SUM(D9:F9)</f>
        <v>767503.87</v>
      </c>
    </row>
    <row r="17" spans="1:6" x14ac:dyDescent="0.25">
      <c r="A17" s="336" t="s">
        <v>3</v>
      </c>
      <c r="B17" s="415">
        <f>SUM(D8:F8)</f>
        <v>8171.0599999999995</v>
      </c>
    </row>
    <row r="18" spans="1:6" ht="15.75" thickBot="1" x14ac:dyDescent="0.3">
      <c r="A18" s="361"/>
      <c r="B18" s="416">
        <f>SUM(B14:B17)</f>
        <v>2085117.5700000003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"/>
  <sheetViews>
    <sheetView zoomScale="130" zoomScaleNormal="130" workbookViewId="0">
      <selection activeCell="D10" sqref="D1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415</v>
      </c>
      <c r="B8" s="340" t="s">
        <v>38</v>
      </c>
      <c r="C8" s="340" t="s">
        <v>3</v>
      </c>
      <c r="D8" s="342">
        <v>443.65</v>
      </c>
      <c r="E8" s="342">
        <v>0</v>
      </c>
      <c r="F8" s="342">
        <v>7727.41</v>
      </c>
    </row>
    <row r="9" spans="1:7" x14ac:dyDescent="0.25">
      <c r="A9" s="340" t="s">
        <v>415</v>
      </c>
      <c r="B9" s="340" t="s">
        <v>38</v>
      </c>
      <c r="C9" s="340" t="s">
        <v>323</v>
      </c>
      <c r="D9" s="342">
        <f>763625.95</f>
        <v>763625.95</v>
      </c>
      <c r="E9" s="342">
        <v>711.82</v>
      </c>
      <c r="F9" s="342">
        <v>725.04</v>
      </c>
    </row>
    <row r="10" spans="1:7" x14ac:dyDescent="0.25">
      <c r="A10" s="340" t="s">
        <v>415</v>
      </c>
      <c r="B10" s="340" t="s">
        <v>38</v>
      </c>
      <c r="C10" s="340" t="s">
        <v>41</v>
      </c>
      <c r="D10" s="342">
        <v>62035.519999999997</v>
      </c>
      <c r="E10" s="342">
        <v>52213.57</v>
      </c>
      <c r="F10" s="342">
        <v>1033831.65</v>
      </c>
    </row>
    <row r="11" spans="1:7" x14ac:dyDescent="0.25">
      <c r="A11" s="340" t="s">
        <v>415</v>
      </c>
      <c r="B11" s="340" t="s">
        <v>39</v>
      </c>
      <c r="C11" s="340" t="s">
        <v>41</v>
      </c>
      <c r="D11" s="342">
        <v>15851.07</v>
      </c>
      <c r="E11" s="342">
        <v>6700.07</v>
      </c>
      <c r="F11" s="342">
        <v>137872.32000000001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1148080.74</v>
      </c>
      <c r="E14" s="390"/>
      <c r="F14" s="417"/>
    </row>
    <row r="15" spans="1:7" x14ac:dyDescent="0.25">
      <c r="A15" s="336" t="s">
        <v>39</v>
      </c>
      <c r="B15" s="415">
        <f>SUM(D11:F11)</f>
        <v>160423.46000000002</v>
      </c>
    </row>
    <row r="16" spans="1:7" x14ac:dyDescent="0.25">
      <c r="A16" s="336" t="s">
        <v>2</v>
      </c>
      <c r="B16" s="415">
        <f>SUM(D9:F9)</f>
        <v>765062.80999999994</v>
      </c>
    </row>
    <row r="17" spans="1:6" x14ac:dyDescent="0.25">
      <c r="A17" s="336" t="s">
        <v>3</v>
      </c>
      <c r="B17" s="415">
        <f>SUM(D8:F8)</f>
        <v>8171.0599999999995</v>
      </c>
    </row>
    <row r="18" spans="1:6" ht="15.75" thickBot="1" x14ac:dyDescent="0.3">
      <c r="A18" s="361"/>
      <c r="B18" s="416">
        <f>SUM(B14:B17)</f>
        <v>2081738.0699999998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zoomScale="130" zoomScaleNormal="130" workbookViewId="0">
      <selection activeCell="D10" sqref="D1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415</v>
      </c>
      <c r="B8" s="340" t="s">
        <v>38</v>
      </c>
      <c r="C8" s="340" t="s">
        <v>3</v>
      </c>
      <c r="D8" s="342">
        <v>0</v>
      </c>
      <c r="E8" s="342">
        <v>0</v>
      </c>
      <c r="F8" s="342">
        <v>7729.37</v>
      </c>
    </row>
    <row r="9" spans="1:7" x14ac:dyDescent="0.25">
      <c r="A9" s="340" t="s">
        <v>415</v>
      </c>
      <c r="B9" s="340" t="s">
        <v>38</v>
      </c>
      <c r="C9" s="340" t="s">
        <v>323</v>
      </c>
      <c r="D9" s="342">
        <v>712.31</v>
      </c>
      <c r="E9" s="342">
        <v>487.7</v>
      </c>
      <c r="F9" s="342">
        <v>247.39</v>
      </c>
    </row>
    <row r="10" spans="1:7" x14ac:dyDescent="0.25">
      <c r="A10" s="340" t="s">
        <v>415</v>
      </c>
      <c r="B10" s="340" t="s">
        <v>38</v>
      </c>
      <c r="C10" s="340" t="s">
        <v>41</v>
      </c>
      <c r="D10" s="342">
        <v>112468.94</v>
      </c>
      <c r="E10" s="342">
        <v>142178.19</v>
      </c>
      <c r="F10" s="342">
        <v>1067441.94</v>
      </c>
    </row>
    <row r="11" spans="1:7" x14ac:dyDescent="0.25">
      <c r="A11" s="340" t="s">
        <v>415</v>
      </c>
      <c r="B11" s="340" t="s">
        <v>39</v>
      </c>
      <c r="C11" s="340" t="s">
        <v>41</v>
      </c>
      <c r="D11" s="342">
        <v>8869.98</v>
      </c>
      <c r="E11" s="342">
        <v>25867.21</v>
      </c>
      <c r="F11" s="342">
        <v>126411.27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1322089.0699999998</v>
      </c>
      <c r="E14" s="390"/>
      <c r="F14" s="417"/>
    </row>
    <row r="15" spans="1:7" x14ac:dyDescent="0.25">
      <c r="A15" s="336" t="s">
        <v>39</v>
      </c>
      <c r="B15" s="415">
        <f>SUM(D11:F11)</f>
        <v>161148.46000000002</v>
      </c>
    </row>
    <row r="16" spans="1:7" x14ac:dyDescent="0.25">
      <c r="A16" s="336" t="s">
        <v>2</v>
      </c>
      <c r="B16" s="415">
        <f>SUM(D9:F9)</f>
        <v>1447.4</v>
      </c>
    </row>
    <row r="17" spans="1:6" x14ac:dyDescent="0.25">
      <c r="A17" s="336" t="s">
        <v>3</v>
      </c>
      <c r="B17" s="415">
        <f>SUM(D8:F8)</f>
        <v>7729.37</v>
      </c>
    </row>
    <row r="18" spans="1:6" ht="15.75" thickBot="1" x14ac:dyDescent="0.3">
      <c r="A18" s="361"/>
      <c r="B18" s="416">
        <f>SUM(B14:B17)</f>
        <v>1492414.2999999998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zoomScale="130" zoomScaleNormal="130" workbookViewId="0">
      <selection activeCell="B18" sqref="B18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415</v>
      </c>
      <c r="B8" s="340" t="s">
        <v>38</v>
      </c>
      <c r="C8" s="340" t="s">
        <v>3</v>
      </c>
      <c r="D8" s="342">
        <v>0</v>
      </c>
      <c r="E8" s="342">
        <v>384.68</v>
      </c>
      <c r="F8" s="342">
        <v>7344.69</v>
      </c>
    </row>
    <row r="9" spans="1:7" x14ac:dyDescent="0.25">
      <c r="A9" s="340" t="s">
        <v>415</v>
      </c>
      <c r="B9" s="340" t="s">
        <v>38</v>
      </c>
      <c r="C9" s="340" t="s">
        <v>323</v>
      </c>
      <c r="D9" s="342">
        <v>487.16</v>
      </c>
      <c r="E9" s="342">
        <v>12</v>
      </c>
      <c r="F9" s="342">
        <v>261.43</v>
      </c>
    </row>
    <row r="10" spans="1:7" x14ac:dyDescent="0.25">
      <c r="A10" s="340" t="s">
        <v>415</v>
      </c>
      <c r="B10" s="340" t="s">
        <v>38</v>
      </c>
      <c r="C10" s="340" t="s">
        <v>41</v>
      </c>
      <c r="D10" s="342">
        <v>172551.12</v>
      </c>
      <c r="E10" s="342">
        <v>99724.45</v>
      </c>
      <c r="F10" s="342">
        <v>1010779.63</v>
      </c>
    </row>
    <row r="11" spans="1:7" x14ac:dyDescent="0.25">
      <c r="A11" s="340" t="s">
        <v>415</v>
      </c>
      <c r="B11" s="340" t="s">
        <v>39</v>
      </c>
      <c r="C11" s="340" t="s">
        <v>41</v>
      </c>
      <c r="D11" s="342">
        <v>29795.91</v>
      </c>
      <c r="E11" s="342">
        <v>14304.91</v>
      </c>
      <c r="F11" s="342">
        <v>123658.06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1283055.2</v>
      </c>
      <c r="E14" s="390"/>
      <c r="F14" s="417"/>
    </row>
    <row r="15" spans="1:7" x14ac:dyDescent="0.25">
      <c r="A15" s="336" t="s">
        <v>39</v>
      </c>
      <c r="B15" s="415">
        <f>SUM(D11:F11)</f>
        <v>167758.88</v>
      </c>
    </row>
    <row r="16" spans="1:7" x14ac:dyDescent="0.25">
      <c r="A16" s="336" t="s">
        <v>2</v>
      </c>
      <c r="B16" s="415">
        <f>SUM(D9:F9)</f>
        <v>760.59</v>
      </c>
    </row>
    <row r="17" spans="1:6" x14ac:dyDescent="0.25">
      <c r="A17" s="336" t="s">
        <v>3</v>
      </c>
      <c r="B17" s="415">
        <f>SUM(D8:F8)</f>
        <v>7729.37</v>
      </c>
    </row>
    <row r="18" spans="1:6" ht="15.75" thickBot="1" x14ac:dyDescent="0.3">
      <c r="A18" s="361"/>
      <c r="B18" s="416">
        <f>SUM(B14:B17)</f>
        <v>1459304.0400000003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zoomScale="130" zoomScaleNormal="130" workbookViewId="0">
      <selection activeCell="D19" sqref="D19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415</v>
      </c>
      <c r="B8" s="340" t="s">
        <v>38</v>
      </c>
      <c r="C8" s="340" t="s">
        <v>3</v>
      </c>
      <c r="D8" s="342">
        <v>424.84</v>
      </c>
      <c r="E8" s="342">
        <v>0</v>
      </c>
      <c r="F8" s="342">
        <v>7385.14</v>
      </c>
    </row>
    <row r="9" spans="1:7" x14ac:dyDescent="0.25">
      <c r="A9" s="340" t="s">
        <v>415</v>
      </c>
      <c r="B9" s="340" t="s">
        <v>38</v>
      </c>
      <c r="C9" s="340" t="s">
        <v>323</v>
      </c>
      <c r="D9" s="342">
        <v>29.24</v>
      </c>
      <c r="E9" s="342">
        <v>15.75</v>
      </c>
      <c r="F9" s="342">
        <v>273.8</v>
      </c>
    </row>
    <row r="10" spans="1:7" x14ac:dyDescent="0.25">
      <c r="A10" s="340" t="s">
        <v>415</v>
      </c>
      <c r="B10" s="340" t="s">
        <v>38</v>
      </c>
      <c r="C10" s="340" t="s">
        <v>41</v>
      </c>
      <c r="D10" s="342">
        <v>111854.33</v>
      </c>
      <c r="E10" s="342">
        <v>113542.25</v>
      </c>
      <c r="F10" s="342">
        <v>1007645.15</v>
      </c>
    </row>
    <row r="11" spans="1:7" x14ac:dyDescent="0.25">
      <c r="A11" s="340" t="s">
        <v>415</v>
      </c>
      <c r="B11" s="340" t="s">
        <v>39</v>
      </c>
      <c r="C11" s="340" t="s">
        <v>41</v>
      </c>
      <c r="D11" s="342">
        <v>16345.99</v>
      </c>
      <c r="E11" s="342">
        <v>11466.18</v>
      </c>
      <c r="F11" s="342">
        <v>125318.98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1233041.73</v>
      </c>
      <c r="E14" s="390"/>
      <c r="F14" s="417"/>
    </row>
    <row r="15" spans="1:7" x14ac:dyDescent="0.25">
      <c r="A15" s="336" t="s">
        <v>39</v>
      </c>
      <c r="B15" s="415">
        <f>SUM(D11:F11)</f>
        <v>153131.15</v>
      </c>
    </row>
    <row r="16" spans="1:7" x14ac:dyDescent="0.25">
      <c r="A16" s="336" t="s">
        <v>2</v>
      </c>
      <c r="B16" s="415">
        <f>SUM(D9:F9)</f>
        <v>318.79000000000002</v>
      </c>
    </row>
    <row r="17" spans="1:6" x14ac:dyDescent="0.25">
      <c r="A17" s="336" t="s">
        <v>3</v>
      </c>
      <c r="B17" s="415">
        <f>SUM(D8:F8)</f>
        <v>7809.9800000000005</v>
      </c>
    </row>
    <row r="18" spans="1:6" ht="15.75" thickBot="1" x14ac:dyDescent="0.3">
      <c r="A18" s="361"/>
      <c r="B18" s="416">
        <f>SUM(B14:B17)</f>
        <v>1394301.65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3"/>
  <sheetViews>
    <sheetView zoomScale="130" zoomScaleNormal="130" workbookViewId="0">
      <selection activeCell="F20" sqref="F2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413</v>
      </c>
      <c r="B8" s="340" t="s">
        <v>38</v>
      </c>
      <c r="C8" s="340" t="s">
        <v>3</v>
      </c>
      <c r="D8" s="342">
        <v>0</v>
      </c>
      <c r="E8" s="342">
        <v>0</v>
      </c>
      <c r="F8" s="342">
        <v>7361.92</v>
      </c>
    </row>
    <row r="9" spans="1:7" x14ac:dyDescent="0.25">
      <c r="A9" s="340" t="s">
        <v>413</v>
      </c>
      <c r="B9" s="340" t="s">
        <v>38</v>
      </c>
      <c r="C9" s="340" t="s">
        <v>323</v>
      </c>
      <c r="D9" s="342">
        <v>16.96</v>
      </c>
      <c r="E9" s="342">
        <v>29.74</v>
      </c>
      <c r="F9" s="342">
        <v>244.06</v>
      </c>
    </row>
    <row r="10" spans="1:7" x14ac:dyDescent="0.25">
      <c r="A10" s="340" t="s">
        <v>413</v>
      </c>
      <c r="B10" s="340" t="s">
        <v>38</v>
      </c>
      <c r="C10" s="340" t="s">
        <v>41</v>
      </c>
      <c r="D10" s="342">
        <v>170608.54</v>
      </c>
      <c r="E10" s="342">
        <v>101173.84</v>
      </c>
      <c r="F10" s="342">
        <v>955532.31</v>
      </c>
    </row>
    <row r="11" spans="1:7" x14ac:dyDescent="0.25">
      <c r="A11" s="340" t="s">
        <v>413</v>
      </c>
      <c r="B11" s="340" t="s">
        <v>39</v>
      </c>
      <c r="C11" s="340" t="s">
        <v>41</v>
      </c>
      <c r="D11" s="342">
        <v>12795.81</v>
      </c>
      <c r="E11" s="342">
        <v>27457.68</v>
      </c>
      <c r="F11" s="342">
        <v>109635.25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1227314.69</v>
      </c>
      <c r="E14" s="390"/>
      <c r="F14" s="417"/>
    </row>
    <row r="15" spans="1:7" x14ac:dyDescent="0.25">
      <c r="A15" s="336" t="s">
        <v>39</v>
      </c>
      <c r="B15" s="415">
        <f>SUM(D11:F11)</f>
        <v>149888.74</v>
      </c>
    </row>
    <row r="16" spans="1:7" x14ac:dyDescent="0.25">
      <c r="A16" s="336" t="s">
        <v>2</v>
      </c>
      <c r="B16" s="415">
        <f>SUM(D9:F9)</f>
        <v>290.76</v>
      </c>
    </row>
    <row r="17" spans="1:6" x14ac:dyDescent="0.25">
      <c r="A17" s="336" t="s">
        <v>3</v>
      </c>
      <c r="B17" s="415">
        <f>SUM(D8:F8)</f>
        <v>7361.92</v>
      </c>
    </row>
    <row r="18" spans="1:6" ht="15.75" thickBot="1" x14ac:dyDescent="0.3">
      <c r="A18" s="361"/>
      <c r="B18" s="416">
        <f>SUM(B14:B17)</f>
        <v>1384856.1099999999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3"/>
  <sheetViews>
    <sheetView zoomScale="130" zoomScaleNormal="130" workbookViewId="0">
      <selection activeCell="C14" sqref="C14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413</v>
      </c>
      <c r="B8" s="340" t="s">
        <v>38</v>
      </c>
      <c r="C8" s="340" t="s">
        <v>3</v>
      </c>
      <c r="D8" s="342">
        <v>0</v>
      </c>
      <c r="E8" s="342">
        <v>405.77</v>
      </c>
      <c r="F8" s="342">
        <v>7077.99</v>
      </c>
    </row>
    <row r="9" spans="1:7" x14ac:dyDescent="0.25">
      <c r="A9" s="340" t="s">
        <v>413</v>
      </c>
      <c r="B9" s="340" t="s">
        <v>38</v>
      </c>
      <c r="C9" s="340" t="s">
        <v>323</v>
      </c>
      <c r="D9" s="342">
        <v>592.66999999999996</v>
      </c>
      <c r="E9" s="342">
        <v>497.09</v>
      </c>
      <c r="F9" s="342">
        <v>1215.0899999999999</v>
      </c>
    </row>
    <row r="10" spans="1:7" x14ac:dyDescent="0.25">
      <c r="A10" s="340" t="s">
        <v>413</v>
      </c>
      <c r="B10" s="340" t="s">
        <v>38</v>
      </c>
      <c r="C10" s="340" t="s">
        <v>41</v>
      </c>
      <c r="D10" s="342">
        <v>129147.56</v>
      </c>
      <c r="E10" s="342">
        <v>98216.43</v>
      </c>
      <c r="F10" s="342">
        <v>957705.69</v>
      </c>
    </row>
    <row r="11" spans="1:7" x14ac:dyDescent="0.25">
      <c r="A11" s="340" t="s">
        <v>413</v>
      </c>
      <c r="B11" s="340" t="s">
        <v>39</v>
      </c>
      <c r="C11" s="340" t="s">
        <v>41</v>
      </c>
      <c r="D11" s="342">
        <v>33170.15</v>
      </c>
      <c r="E11" s="342">
        <v>12119.25</v>
      </c>
      <c r="F11" s="342">
        <v>106972.31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1185069.68</v>
      </c>
      <c r="E14" s="390"/>
      <c r="F14" s="417"/>
    </row>
    <row r="15" spans="1:7" x14ac:dyDescent="0.25">
      <c r="A15" s="336" t="s">
        <v>39</v>
      </c>
      <c r="B15" s="415">
        <f>SUM(D11:F11)</f>
        <v>152261.71</v>
      </c>
    </row>
    <row r="16" spans="1:7" x14ac:dyDescent="0.25">
      <c r="A16" s="336" t="s">
        <v>2</v>
      </c>
      <c r="B16" s="415">
        <f>SUM(D9:F9)</f>
        <v>2304.85</v>
      </c>
    </row>
    <row r="17" spans="1:6" x14ac:dyDescent="0.25">
      <c r="A17" s="336" t="s">
        <v>3</v>
      </c>
      <c r="B17" s="415">
        <f>SUM(D8:F8)</f>
        <v>7483.76</v>
      </c>
    </row>
    <row r="18" spans="1:6" ht="15.75" thickBot="1" x14ac:dyDescent="0.3">
      <c r="A18" s="361"/>
      <c r="B18" s="416">
        <f>SUM(B14:B17)</f>
        <v>1347120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zoomScale="130" zoomScaleNormal="130" workbookViewId="0">
      <selection activeCell="F20" sqref="F2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413</v>
      </c>
      <c r="B8" s="340" t="s">
        <v>38</v>
      </c>
      <c r="C8" s="340" t="s">
        <v>3</v>
      </c>
      <c r="D8" s="342">
        <v>545.42999999999995</v>
      </c>
      <c r="E8" s="342">
        <v>0</v>
      </c>
      <c r="F8" s="342">
        <v>7241.12</v>
      </c>
    </row>
    <row r="9" spans="1:7" x14ac:dyDescent="0.25">
      <c r="A9" s="340" t="s">
        <v>413</v>
      </c>
      <c r="B9" s="340" t="s">
        <v>38</v>
      </c>
      <c r="C9" s="340" t="s">
        <v>323</v>
      </c>
      <c r="D9" s="342">
        <v>3120.03</v>
      </c>
      <c r="E9" s="342">
        <v>2397.5500000000002</v>
      </c>
      <c r="F9" s="342">
        <v>726.4</v>
      </c>
    </row>
    <row r="10" spans="1:7" x14ac:dyDescent="0.25">
      <c r="A10" s="340" t="s">
        <v>413</v>
      </c>
      <c r="B10" s="340" t="s">
        <v>38</v>
      </c>
      <c r="C10" s="340" t="s">
        <v>41</v>
      </c>
      <c r="D10" s="342">
        <v>109149.71</v>
      </c>
      <c r="E10" s="342">
        <v>117966.21</v>
      </c>
      <c r="F10" s="342">
        <v>920107.92</v>
      </c>
    </row>
    <row r="11" spans="1:7" x14ac:dyDescent="0.25">
      <c r="A11" s="340" t="s">
        <v>413</v>
      </c>
      <c r="B11" s="340" t="s">
        <v>39</v>
      </c>
      <c r="C11" s="340" t="s">
        <v>41</v>
      </c>
      <c r="D11" s="342">
        <v>14319.43</v>
      </c>
      <c r="E11" s="342">
        <v>11533.2</v>
      </c>
      <c r="F11" s="342">
        <v>105952.57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1147223.8400000001</v>
      </c>
      <c r="E14" s="390"/>
      <c r="F14" s="417"/>
    </row>
    <row r="15" spans="1:7" x14ac:dyDescent="0.25">
      <c r="A15" s="336" t="s">
        <v>39</v>
      </c>
      <c r="B15" s="415">
        <f>SUM(D11:F11)</f>
        <v>131805.20000000001</v>
      </c>
    </row>
    <row r="16" spans="1:7" x14ac:dyDescent="0.25">
      <c r="A16" s="336" t="s">
        <v>2</v>
      </c>
      <c r="B16" s="415">
        <f>SUM(D9:F9)</f>
        <v>6243.98</v>
      </c>
    </row>
    <row r="17" spans="1:6" x14ac:dyDescent="0.25">
      <c r="A17" s="336" t="s">
        <v>3</v>
      </c>
      <c r="B17" s="415">
        <f>SUM(D8:F8)</f>
        <v>7786.55</v>
      </c>
    </row>
    <row r="18" spans="1:6" ht="15.75" thickBot="1" x14ac:dyDescent="0.3">
      <c r="A18" s="361"/>
      <c r="B18" s="416">
        <f>SUM(B14:B17)</f>
        <v>1293059.57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413</v>
      </c>
      <c r="B8" s="340" t="s">
        <v>38</v>
      </c>
      <c r="C8" s="340" t="s">
        <v>3</v>
      </c>
      <c r="D8" s="342">
        <v>0</v>
      </c>
      <c r="E8" s="342">
        <v>0</v>
      </c>
      <c r="F8" s="342">
        <v>7218.03</v>
      </c>
    </row>
    <row r="9" spans="1:7" x14ac:dyDescent="0.25">
      <c r="A9" s="340" t="s">
        <v>413</v>
      </c>
      <c r="B9" s="340" t="s">
        <v>38</v>
      </c>
      <c r="C9" s="340" t="s">
        <v>323</v>
      </c>
      <c r="D9" s="342">
        <v>6041.66</v>
      </c>
      <c r="E9" s="342">
        <v>481.52</v>
      </c>
      <c r="F9" s="342">
        <v>244.93</v>
      </c>
    </row>
    <row r="10" spans="1:7" x14ac:dyDescent="0.25">
      <c r="A10" s="340" t="s">
        <v>413</v>
      </c>
      <c r="B10" s="340" t="s">
        <v>38</v>
      </c>
      <c r="C10" s="340" t="s">
        <v>41</v>
      </c>
      <c r="D10" s="342">
        <v>127767.59</v>
      </c>
      <c r="E10" s="342">
        <v>124624.22</v>
      </c>
      <c r="F10" s="342">
        <v>898783.93</v>
      </c>
    </row>
    <row r="11" spans="1:7" x14ac:dyDescent="0.25">
      <c r="A11" s="340" t="s">
        <v>413</v>
      </c>
      <c r="B11" s="340" t="s">
        <v>39</v>
      </c>
      <c r="C11" s="340" t="s">
        <v>41</v>
      </c>
      <c r="D11" s="342">
        <v>13325.59</v>
      </c>
      <c r="E11" s="342">
        <v>16509.759999999998</v>
      </c>
      <c r="F11" s="342">
        <v>98645.88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1151175.74</v>
      </c>
      <c r="E14" s="390"/>
      <c r="F14" s="417"/>
    </row>
    <row r="15" spans="1:7" x14ac:dyDescent="0.25">
      <c r="A15" s="336" t="s">
        <v>39</v>
      </c>
      <c r="B15" s="415">
        <f>SUM(D11:F11)</f>
        <v>128481.23000000001</v>
      </c>
    </row>
    <row r="16" spans="1:7" x14ac:dyDescent="0.25">
      <c r="A16" s="336" t="s">
        <v>2</v>
      </c>
      <c r="B16" s="415">
        <f>SUM(D9:F9)</f>
        <v>6768.1100000000006</v>
      </c>
    </row>
    <row r="17" spans="1:6" x14ac:dyDescent="0.25">
      <c r="A17" s="336" t="s">
        <v>3</v>
      </c>
      <c r="B17" s="415">
        <f>SUM(D8:F8)</f>
        <v>7218.03</v>
      </c>
    </row>
    <row r="18" spans="1:6" ht="15.75" thickBot="1" x14ac:dyDescent="0.3">
      <c r="A18" s="361"/>
      <c r="B18" s="416">
        <f>SUM(B14:B17)</f>
        <v>1293643.1100000001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3"/>
  <sheetViews>
    <sheetView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413</v>
      </c>
      <c r="B8" s="340" t="s">
        <v>38</v>
      </c>
      <c r="C8" s="340" t="s">
        <v>3</v>
      </c>
      <c r="D8" s="342">
        <v>0</v>
      </c>
      <c r="E8" s="342">
        <v>486.04</v>
      </c>
      <c r="F8" s="342">
        <v>6731.99</v>
      </c>
    </row>
    <row r="9" spans="1:7" x14ac:dyDescent="0.25">
      <c r="A9" s="340" t="s">
        <v>413</v>
      </c>
      <c r="B9" s="340" t="s">
        <v>38</v>
      </c>
      <c r="C9" s="340" t="s">
        <v>323</v>
      </c>
      <c r="D9" s="342">
        <v>581.45000000000005</v>
      </c>
      <c r="E9" s="342">
        <v>188.87</v>
      </c>
      <c r="F9" s="342">
        <v>1787.57</v>
      </c>
    </row>
    <row r="10" spans="1:7" x14ac:dyDescent="0.25">
      <c r="A10" s="340" t="s">
        <v>413</v>
      </c>
      <c r="B10" s="340" t="s">
        <v>38</v>
      </c>
      <c r="C10" s="340" t="s">
        <v>41</v>
      </c>
      <c r="D10" s="342">
        <v>147965.56</v>
      </c>
      <c r="E10" s="342">
        <v>31775.46</v>
      </c>
      <c r="F10" s="342">
        <v>904519.5</v>
      </c>
    </row>
    <row r="11" spans="1:7" x14ac:dyDescent="0.25">
      <c r="A11" s="340" t="s">
        <v>413</v>
      </c>
      <c r="B11" s="340" t="s">
        <v>39</v>
      </c>
      <c r="C11" s="340" t="s">
        <v>41</v>
      </c>
      <c r="D11" s="342">
        <v>20544.13</v>
      </c>
      <c r="E11" s="342">
        <v>10254.549999999999</v>
      </c>
      <c r="F11" s="342">
        <v>100846.25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1084260.52</v>
      </c>
      <c r="E14" s="390"/>
      <c r="F14" s="417"/>
    </row>
    <row r="15" spans="1:7" x14ac:dyDescent="0.25">
      <c r="A15" s="336" t="s">
        <v>39</v>
      </c>
      <c r="B15" s="415">
        <f>SUM(D11:F11)</f>
        <v>131644.93</v>
      </c>
    </row>
    <row r="16" spans="1:7" x14ac:dyDescent="0.25">
      <c r="A16" s="336" t="s">
        <v>2</v>
      </c>
      <c r="B16" s="415">
        <f>SUM(D9:F9)</f>
        <v>2557.89</v>
      </c>
    </row>
    <row r="17" spans="1:6" x14ac:dyDescent="0.25">
      <c r="A17" s="336" t="s">
        <v>3</v>
      </c>
      <c r="B17" s="415">
        <f>SUM(D8:F8)</f>
        <v>7218.03</v>
      </c>
    </row>
    <row r="18" spans="1:6" ht="15.75" thickBot="1" x14ac:dyDescent="0.3">
      <c r="A18" s="361"/>
      <c r="B18" s="416">
        <f>SUM(B14:B17)</f>
        <v>1225681.3699999999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F77C-0CD6-447A-941A-86D6C69ED712}">
  <sheetPr>
    <tabColor theme="1"/>
  </sheetPr>
  <dimension ref="A1:L7"/>
  <sheetViews>
    <sheetView workbookViewId="0">
      <selection activeCell="I9" sqref="I9"/>
    </sheetView>
  </sheetViews>
  <sheetFormatPr defaultRowHeight="12.75" x14ac:dyDescent="0.2"/>
  <cols>
    <col min="2" max="3" width="11.140625" bestFit="1" customWidth="1"/>
    <col min="4" max="5" width="9.42578125" bestFit="1" customWidth="1"/>
    <col min="6" max="7" width="9.28515625" bestFit="1" customWidth="1"/>
    <col min="8" max="8" width="9.42578125" bestFit="1" customWidth="1"/>
    <col min="9" max="12" width="9.28515625" bestFit="1" customWidth="1"/>
  </cols>
  <sheetData>
    <row r="1" spans="1:12" x14ac:dyDescent="0.2">
      <c r="B1" s="470">
        <v>44742</v>
      </c>
      <c r="C1" s="470">
        <f>EOMONTH(B1,1)</f>
        <v>44773</v>
      </c>
      <c r="D1" s="470">
        <f t="shared" ref="D1:L1" si="0">EOMONTH(C1,1)</f>
        <v>44804</v>
      </c>
      <c r="E1" s="470">
        <f t="shared" si="0"/>
        <v>44834</v>
      </c>
      <c r="F1" s="470">
        <f t="shared" si="0"/>
        <v>44865</v>
      </c>
      <c r="G1" s="470">
        <f t="shared" si="0"/>
        <v>44895</v>
      </c>
      <c r="H1" s="470">
        <f t="shared" si="0"/>
        <v>44926</v>
      </c>
      <c r="I1" s="470">
        <f t="shared" si="0"/>
        <v>44957</v>
      </c>
      <c r="J1" s="470">
        <f t="shared" si="0"/>
        <v>44985</v>
      </c>
      <c r="K1" s="470">
        <f t="shared" si="0"/>
        <v>45016</v>
      </c>
      <c r="L1" s="470">
        <f t="shared" si="0"/>
        <v>45046</v>
      </c>
    </row>
    <row r="2" spans="1:12" x14ac:dyDescent="0.2">
      <c r="A2" s="111" t="s">
        <v>435</v>
      </c>
      <c r="B2" s="52">
        <v>851122.7</v>
      </c>
      <c r="C2" s="52">
        <v>851884.66999999993</v>
      </c>
      <c r="D2" s="52">
        <v>822562.92999999993</v>
      </c>
      <c r="E2" s="52">
        <v>825453.37</v>
      </c>
      <c r="F2" s="52">
        <v>778045.02</v>
      </c>
      <c r="G2" s="52">
        <v>763581.46000000008</v>
      </c>
      <c r="H2" s="52">
        <v>786280.2</v>
      </c>
      <c r="I2" s="52">
        <v>786280.2</v>
      </c>
      <c r="J2" s="52">
        <v>780684.88000000012</v>
      </c>
      <c r="K2" s="52">
        <v>877969.27999999991</v>
      </c>
      <c r="L2" s="52">
        <v>880094.01</v>
      </c>
    </row>
    <row r="4" spans="1:12" x14ac:dyDescent="0.2">
      <c r="A4" s="111" t="s">
        <v>406</v>
      </c>
      <c r="B4" s="83">
        <v>67842</v>
      </c>
      <c r="C4" s="472">
        <v>67842</v>
      </c>
      <c r="D4" s="472">
        <v>67842</v>
      </c>
      <c r="E4" s="472">
        <v>67842</v>
      </c>
      <c r="F4" s="472">
        <v>67842</v>
      </c>
      <c r="G4" s="472">
        <v>67842</v>
      </c>
      <c r="H4" s="472">
        <v>67842</v>
      </c>
      <c r="I4" s="472">
        <v>67842</v>
      </c>
      <c r="J4" s="472">
        <v>67842</v>
      </c>
      <c r="K4" s="472">
        <v>67842</v>
      </c>
      <c r="L4" s="472">
        <v>67842</v>
      </c>
    </row>
    <row r="6" spans="1:12" x14ac:dyDescent="0.2">
      <c r="A6" s="111" t="s">
        <v>408</v>
      </c>
      <c r="B6" s="471">
        <f>B2/B4/1000</f>
        <v>1.2545660505291706E-2</v>
      </c>
      <c r="C6" s="471">
        <f>C2/C4/1000</f>
        <v>1.2556892043277024E-2</v>
      </c>
      <c r="D6" s="471">
        <f t="shared" ref="D6:L6" si="1">D2/D4/1000</f>
        <v>1.2124685740396803E-2</v>
      </c>
      <c r="E6" s="471">
        <f t="shared" si="1"/>
        <v>1.2167291206037557E-2</v>
      </c>
      <c r="F6" s="471">
        <f t="shared" si="1"/>
        <v>1.1468485893694173E-2</v>
      </c>
      <c r="G6" s="471">
        <f t="shared" si="1"/>
        <v>1.125529111759677E-2</v>
      </c>
      <c r="H6" s="471">
        <f t="shared" si="1"/>
        <v>1.1589873529671883E-2</v>
      </c>
      <c r="I6" s="471">
        <f t="shared" si="1"/>
        <v>1.1589873529671883E-2</v>
      </c>
      <c r="J6" s="471">
        <f t="shared" si="1"/>
        <v>1.1507397777188174E-2</v>
      </c>
      <c r="K6" s="471">
        <f t="shared" si="1"/>
        <v>1.2941382624333007E-2</v>
      </c>
      <c r="L6" s="471">
        <f t="shared" si="1"/>
        <v>1.2972701423896702E-2</v>
      </c>
    </row>
    <row r="7" spans="1:12" x14ac:dyDescent="0.2">
      <c r="B7" s="471"/>
    </row>
  </sheetData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3"/>
  <sheetViews>
    <sheetView topLeftCell="A7"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413</v>
      </c>
      <c r="B8" s="340" t="s">
        <v>38</v>
      </c>
      <c r="C8" s="340" t="s">
        <v>3</v>
      </c>
      <c r="D8" s="342">
        <v>526.16</v>
      </c>
      <c r="E8" s="342">
        <v>0</v>
      </c>
      <c r="F8" s="342">
        <v>7021.93</v>
      </c>
    </row>
    <row r="9" spans="1:7" x14ac:dyDescent="0.25">
      <c r="A9" s="340" t="s">
        <v>413</v>
      </c>
      <c r="B9" s="340" t="s">
        <v>38</v>
      </c>
      <c r="C9" s="340" t="s">
        <v>323</v>
      </c>
      <c r="D9" s="342">
        <v>678.49</v>
      </c>
      <c r="E9" s="342">
        <v>2026.01</v>
      </c>
      <c r="F9" s="342">
        <v>481.63</v>
      </c>
    </row>
    <row r="10" spans="1:7" x14ac:dyDescent="0.25">
      <c r="A10" s="340" t="s">
        <v>413</v>
      </c>
      <c r="B10" s="340" t="s">
        <v>38</v>
      </c>
      <c r="C10" s="340" t="s">
        <v>41</v>
      </c>
      <c r="D10" s="342">
        <v>51125.38</v>
      </c>
      <c r="E10" s="342">
        <v>37606.07</v>
      </c>
      <c r="F10" s="342">
        <v>907218.13</v>
      </c>
    </row>
    <row r="11" spans="1:7" x14ac:dyDescent="0.25">
      <c r="A11" s="340" t="s">
        <v>413</v>
      </c>
      <c r="B11" s="340" t="s">
        <v>39</v>
      </c>
      <c r="C11" s="340" t="s">
        <v>41</v>
      </c>
      <c r="D11" s="342">
        <v>14926.24</v>
      </c>
      <c r="E11" s="342">
        <v>6556</v>
      </c>
      <c r="F11" s="342">
        <v>107770.74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995949.58</v>
      </c>
      <c r="E14" s="390"/>
      <c r="F14" s="417"/>
    </row>
    <row r="15" spans="1:7" x14ac:dyDescent="0.25">
      <c r="A15" s="336" t="s">
        <v>39</v>
      </c>
      <c r="B15" s="415">
        <f>SUM(D11:F11)</f>
        <v>129252.98000000001</v>
      </c>
    </row>
    <row r="16" spans="1:7" x14ac:dyDescent="0.25">
      <c r="A16" s="336" t="s">
        <v>2</v>
      </c>
      <c r="B16" s="415">
        <f>SUM(D9:F9)</f>
        <v>3186.13</v>
      </c>
    </row>
    <row r="17" spans="1:6" x14ac:dyDescent="0.25">
      <c r="A17" s="336" t="s">
        <v>3</v>
      </c>
      <c r="B17" s="415">
        <f>SUM(D8:F8)</f>
        <v>7548.09</v>
      </c>
    </row>
    <row r="18" spans="1:6" ht="15.75" thickBot="1" x14ac:dyDescent="0.3">
      <c r="A18" s="361"/>
      <c r="B18" s="416">
        <f>SUM(B14:B17)</f>
        <v>1135936.78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3"/>
  <sheetViews>
    <sheetView topLeftCell="A7"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413</v>
      </c>
      <c r="B8" s="340" t="s">
        <v>38</v>
      </c>
      <c r="C8" s="340" t="s">
        <v>3</v>
      </c>
      <c r="D8" s="342">
        <v>0</v>
      </c>
      <c r="E8" s="342">
        <v>0</v>
      </c>
      <c r="F8" s="342">
        <v>6999.03</v>
      </c>
    </row>
    <row r="9" spans="1:7" x14ac:dyDescent="0.25">
      <c r="A9" s="340" t="s">
        <v>413</v>
      </c>
      <c r="B9" s="340" t="s">
        <v>38</v>
      </c>
      <c r="C9" s="340" t="s">
        <v>323</v>
      </c>
      <c r="D9" s="342">
        <v>175875.9</v>
      </c>
      <c r="E9" s="342">
        <v>238.21</v>
      </c>
      <c r="F9" s="342">
        <v>242.62</v>
      </c>
    </row>
    <row r="10" spans="1:7" x14ac:dyDescent="0.25">
      <c r="A10" s="340" t="s">
        <v>413</v>
      </c>
      <c r="B10" s="340" t="s">
        <v>38</v>
      </c>
      <c r="C10" s="340" t="s">
        <v>41</v>
      </c>
      <c r="D10" s="342">
        <v>51137.68</v>
      </c>
      <c r="E10" s="342">
        <v>70288.05</v>
      </c>
      <c r="F10" s="342">
        <v>865221</v>
      </c>
    </row>
    <row r="11" spans="1:7" x14ac:dyDescent="0.25">
      <c r="A11" s="340" t="s">
        <v>413</v>
      </c>
      <c r="B11" s="340" t="s">
        <v>39</v>
      </c>
      <c r="C11" s="340" t="s">
        <v>41</v>
      </c>
      <c r="D11" s="342">
        <v>10250.620000000001</v>
      </c>
      <c r="E11" s="342">
        <v>22337.09</v>
      </c>
      <c r="F11" s="342">
        <v>91121.15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986646.73</v>
      </c>
      <c r="E14" s="390"/>
      <c r="F14" s="417"/>
    </row>
    <row r="15" spans="1:7" x14ac:dyDescent="0.25">
      <c r="A15" s="336" t="s">
        <v>39</v>
      </c>
      <c r="B15" s="415">
        <f>SUM(D11:F11)</f>
        <v>123708.85999999999</v>
      </c>
    </row>
    <row r="16" spans="1:7" x14ac:dyDescent="0.25">
      <c r="A16" s="336" t="s">
        <v>2</v>
      </c>
      <c r="B16" s="415">
        <f>SUM(D9:F9)</f>
        <v>176356.72999999998</v>
      </c>
    </row>
    <row r="17" spans="1:6" x14ac:dyDescent="0.25">
      <c r="A17" s="336" t="s">
        <v>3</v>
      </c>
      <c r="B17" s="415">
        <f>SUM(D8:F8)</f>
        <v>6999.03</v>
      </c>
    </row>
    <row r="18" spans="1:6" ht="15.75" thickBot="1" x14ac:dyDescent="0.3">
      <c r="A18" s="361"/>
      <c r="B18" s="416">
        <f>SUM(B14:B17)</f>
        <v>1293711.3499999999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3"/>
  <sheetViews>
    <sheetView topLeftCell="A7" zoomScale="130" zoomScaleNormal="130" workbookViewId="0">
      <selection activeCell="I27" sqref="I27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413</v>
      </c>
      <c r="B8" s="340" t="s">
        <v>38</v>
      </c>
      <c r="C8" s="340" t="s">
        <v>3</v>
      </c>
      <c r="D8" s="342">
        <v>0</v>
      </c>
      <c r="E8" s="342">
        <v>566.36</v>
      </c>
      <c r="F8" s="342">
        <v>6493.9</v>
      </c>
    </row>
    <row r="9" spans="1:7" x14ac:dyDescent="0.25">
      <c r="A9" s="340" t="s">
        <v>413</v>
      </c>
      <c r="B9" s="340" t="s">
        <v>38</v>
      </c>
      <c r="C9" s="340" t="s">
        <v>323</v>
      </c>
      <c r="D9" s="342">
        <v>764.89</v>
      </c>
      <c r="E9" s="342">
        <v>414.62</v>
      </c>
      <c r="F9" s="342">
        <v>439.58</v>
      </c>
    </row>
    <row r="10" spans="1:7" x14ac:dyDescent="0.25">
      <c r="A10" s="340" t="s">
        <v>413</v>
      </c>
      <c r="B10" s="340" t="s">
        <v>38</v>
      </c>
      <c r="C10" s="340" t="s">
        <v>41</v>
      </c>
      <c r="D10" s="342">
        <v>98253.99</v>
      </c>
      <c r="E10" s="342">
        <v>39825.75</v>
      </c>
      <c r="F10" s="342">
        <v>943088.03</v>
      </c>
    </row>
    <row r="11" spans="1:7" x14ac:dyDescent="0.25">
      <c r="A11" s="340" t="s">
        <v>413</v>
      </c>
      <c r="B11" s="340" t="s">
        <v>39</v>
      </c>
      <c r="C11" s="340" t="s">
        <v>41</v>
      </c>
      <c r="D11" s="342">
        <v>26638.83</v>
      </c>
      <c r="E11" s="342">
        <v>9617.4699999999993</v>
      </c>
      <c r="F11" s="342">
        <v>90183.72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1081167.77</v>
      </c>
      <c r="E14" s="390"/>
      <c r="F14" s="417"/>
    </row>
    <row r="15" spans="1:7" x14ac:dyDescent="0.25">
      <c r="A15" s="336" t="s">
        <v>39</v>
      </c>
      <c r="B15" s="415">
        <f>SUM(D11:F11)</f>
        <v>126440.02</v>
      </c>
    </row>
    <row r="16" spans="1:7" x14ac:dyDescent="0.25">
      <c r="A16" s="336" t="s">
        <v>2</v>
      </c>
      <c r="B16" s="415">
        <f>SUM(D9:F9)</f>
        <v>1619.09</v>
      </c>
    </row>
    <row r="17" spans="1:6" x14ac:dyDescent="0.25">
      <c r="A17" s="336" t="s">
        <v>3</v>
      </c>
      <c r="B17" s="415">
        <f>SUM(D8:F8)</f>
        <v>7060.2599999999993</v>
      </c>
    </row>
    <row r="18" spans="1:6" ht="15.75" thickBot="1" x14ac:dyDescent="0.3">
      <c r="A18" s="361"/>
      <c r="B18" s="416">
        <f>SUM(B14:B17)</f>
        <v>1216287.1400000001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3"/>
  <sheetViews>
    <sheetView topLeftCell="A7" zoomScale="130" zoomScaleNormal="130" workbookViewId="0">
      <selection activeCell="F23" sqref="F23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413</v>
      </c>
      <c r="B8" s="340" t="s">
        <v>38</v>
      </c>
      <c r="C8" s="340" t="s">
        <v>3</v>
      </c>
      <c r="D8" s="342">
        <v>566.36</v>
      </c>
      <c r="E8" s="342">
        <v>0</v>
      </c>
      <c r="F8" s="342">
        <v>6493.9</v>
      </c>
    </row>
    <row r="9" spans="1:7" x14ac:dyDescent="0.25">
      <c r="A9" s="340" t="s">
        <v>413</v>
      </c>
      <c r="B9" s="340" t="s">
        <v>38</v>
      </c>
      <c r="C9" s="340" t="s">
        <v>323</v>
      </c>
      <c r="D9" s="342">
        <v>7119.09</v>
      </c>
      <c r="E9" s="342">
        <v>209.27</v>
      </c>
      <c r="F9" s="342">
        <v>17504.849999999999</v>
      </c>
    </row>
    <row r="10" spans="1:7" x14ac:dyDescent="0.25">
      <c r="A10" s="340" t="s">
        <v>413</v>
      </c>
      <c r="B10" s="340" t="s">
        <v>38</v>
      </c>
      <c r="C10" s="340" t="s">
        <v>41</v>
      </c>
      <c r="D10" s="342">
        <v>48046.44</v>
      </c>
      <c r="E10" s="342">
        <v>61079.040000000001</v>
      </c>
      <c r="F10" s="342">
        <v>920299.59</v>
      </c>
    </row>
    <row r="11" spans="1:7" x14ac:dyDescent="0.25">
      <c r="A11" s="340" t="s">
        <v>413</v>
      </c>
      <c r="B11" s="340" t="s">
        <v>39</v>
      </c>
      <c r="C11" s="340" t="s">
        <v>41</v>
      </c>
      <c r="D11" s="342">
        <v>11401.87</v>
      </c>
      <c r="E11" s="342">
        <v>13058.84</v>
      </c>
      <c r="F11" s="342">
        <v>87949.77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1029425.07</v>
      </c>
      <c r="E14" s="390"/>
      <c r="F14" s="417"/>
    </row>
    <row r="15" spans="1:7" x14ac:dyDescent="0.25">
      <c r="A15" s="336" t="s">
        <v>39</v>
      </c>
      <c r="B15" s="415">
        <f>SUM(D11:F11)</f>
        <v>112410.48000000001</v>
      </c>
    </row>
    <row r="16" spans="1:7" x14ac:dyDescent="0.25">
      <c r="A16" s="336" t="s">
        <v>2</v>
      </c>
      <c r="B16" s="415">
        <f>SUM(D9:F9)</f>
        <v>24833.21</v>
      </c>
    </row>
    <row r="17" spans="1:6" x14ac:dyDescent="0.25">
      <c r="A17" s="336" t="s">
        <v>3</v>
      </c>
      <c r="B17" s="415">
        <f>SUM(D8:F8)</f>
        <v>7060.2599999999993</v>
      </c>
    </row>
    <row r="18" spans="1:6" ht="15.75" thickBot="1" x14ac:dyDescent="0.3">
      <c r="A18" s="361"/>
      <c r="B18" s="416">
        <f>SUM(B14:B17)</f>
        <v>1173729.02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3"/>
  <sheetViews>
    <sheetView topLeftCell="A7"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413</v>
      </c>
      <c r="B8" s="340" t="s">
        <v>38</v>
      </c>
      <c r="C8" s="340" t="s">
        <v>3</v>
      </c>
      <c r="D8" s="342">
        <v>0</v>
      </c>
      <c r="E8" s="342">
        <v>0</v>
      </c>
      <c r="F8" s="342">
        <v>6812.13</v>
      </c>
    </row>
    <row r="9" spans="1:7" x14ac:dyDescent="0.25">
      <c r="A9" s="340" t="s">
        <v>413</v>
      </c>
      <c r="B9" s="340" t="s">
        <v>38</v>
      </c>
      <c r="C9" s="340" t="s">
        <v>323</v>
      </c>
      <c r="D9" s="342">
        <v>1101.3499999999999</v>
      </c>
      <c r="E9" s="342">
        <v>464.94</v>
      </c>
      <c r="F9" s="342">
        <v>19370.16</v>
      </c>
    </row>
    <row r="10" spans="1:7" x14ac:dyDescent="0.25">
      <c r="A10" s="340" t="s">
        <v>413</v>
      </c>
      <c r="B10" s="340" t="s">
        <v>38</v>
      </c>
      <c r="C10" s="340" t="s">
        <v>41</v>
      </c>
      <c r="D10" s="342">
        <v>74576.460000000006</v>
      </c>
      <c r="E10" s="342">
        <v>92505.36</v>
      </c>
      <c r="F10" s="342">
        <v>871295.9</v>
      </c>
    </row>
    <row r="11" spans="1:7" x14ac:dyDescent="0.25">
      <c r="A11" s="340" t="s">
        <v>413</v>
      </c>
      <c r="B11" s="340" t="s">
        <v>39</v>
      </c>
      <c r="C11" s="340" t="s">
        <v>41</v>
      </c>
      <c r="D11" s="342">
        <v>17223.23</v>
      </c>
      <c r="E11" s="342">
        <v>23788.720000000001</v>
      </c>
      <c r="F11" s="342">
        <v>73968.72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1038377.72</v>
      </c>
      <c r="E14" s="390"/>
      <c r="F14" s="417"/>
    </row>
    <row r="15" spans="1:7" x14ac:dyDescent="0.25">
      <c r="A15" s="336" t="s">
        <v>39</v>
      </c>
      <c r="B15" s="415">
        <f>SUM(D11:F11)</f>
        <v>114980.67</v>
      </c>
    </row>
    <row r="16" spans="1:7" x14ac:dyDescent="0.25">
      <c r="A16" s="336" t="s">
        <v>2</v>
      </c>
      <c r="B16" s="415">
        <f>SUM(D9:F9)</f>
        <v>20936.45</v>
      </c>
    </row>
    <row r="17" spans="1:6" x14ac:dyDescent="0.25">
      <c r="A17" s="336" t="s">
        <v>3</v>
      </c>
      <c r="B17" s="415">
        <f>SUM(D8:F8)</f>
        <v>6812.13</v>
      </c>
    </row>
    <row r="18" spans="1:6" ht="15.75" thickBot="1" x14ac:dyDescent="0.3">
      <c r="A18" s="361"/>
      <c r="B18" s="416">
        <f>SUM(B14:B17)</f>
        <v>1181106.9699999997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3"/>
  <sheetViews>
    <sheetView topLeftCell="A4" zoomScale="130" zoomScaleNormal="130" workbookViewId="0">
      <selection activeCell="H20" sqref="H2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413</v>
      </c>
      <c r="B8" s="340" t="s">
        <v>38</v>
      </c>
      <c r="C8" s="340" t="s">
        <v>3</v>
      </c>
      <c r="D8" s="342">
        <v>0</v>
      </c>
      <c r="E8" s="342">
        <v>535.86</v>
      </c>
      <c r="F8" s="342">
        <v>6336.7</v>
      </c>
    </row>
    <row r="9" spans="1:7" x14ac:dyDescent="0.25">
      <c r="A9" s="340" t="s">
        <v>413</v>
      </c>
      <c r="B9" s="340" t="s">
        <v>38</v>
      </c>
      <c r="C9" s="340" t="s">
        <v>323</v>
      </c>
      <c r="D9" s="342">
        <v>23152.58</v>
      </c>
      <c r="E9" s="342">
        <v>2533.37</v>
      </c>
      <c r="F9" s="342">
        <v>29666.62</v>
      </c>
    </row>
    <row r="10" spans="1:7" x14ac:dyDescent="0.25">
      <c r="A10" s="340" t="s">
        <v>413</v>
      </c>
      <c r="B10" s="340" t="s">
        <v>38</v>
      </c>
      <c r="C10" s="340" t="s">
        <v>41</v>
      </c>
      <c r="D10" s="342">
        <v>117339.83</v>
      </c>
      <c r="E10" s="342">
        <v>19639.310000000001</v>
      </c>
      <c r="F10" s="342">
        <v>890747.27</v>
      </c>
    </row>
    <row r="11" spans="1:7" x14ac:dyDescent="0.25">
      <c r="A11" s="340" t="s">
        <v>413</v>
      </c>
      <c r="B11" s="340" t="s">
        <v>39</v>
      </c>
      <c r="C11" s="340" t="s">
        <v>41</v>
      </c>
      <c r="D11" s="342">
        <v>28245.040000000001</v>
      </c>
      <c r="E11" s="342">
        <v>310.42</v>
      </c>
      <c r="F11" s="342">
        <v>82610.17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1027726.41</v>
      </c>
      <c r="E14" s="390"/>
      <c r="F14" s="417"/>
    </row>
    <row r="15" spans="1:7" x14ac:dyDescent="0.25">
      <c r="A15" s="336" t="s">
        <v>39</v>
      </c>
      <c r="B15" s="415">
        <f>SUM(D11:F11)</f>
        <v>111165.63</v>
      </c>
    </row>
    <row r="16" spans="1:7" x14ac:dyDescent="0.25">
      <c r="A16" s="336" t="s">
        <v>2</v>
      </c>
      <c r="B16" s="415">
        <f>SUM(D9:F9)</f>
        <v>55352.57</v>
      </c>
    </row>
    <row r="17" spans="1:6" x14ac:dyDescent="0.25">
      <c r="A17" s="336" t="s">
        <v>3</v>
      </c>
      <c r="B17" s="415">
        <f>SUM(D8:F8)</f>
        <v>6872.5599999999995</v>
      </c>
    </row>
    <row r="18" spans="1:6" ht="15.75" thickBot="1" x14ac:dyDescent="0.3">
      <c r="A18" s="361"/>
      <c r="B18" s="416">
        <f>SUM(B14:B17)</f>
        <v>1201117.1700000002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23"/>
  <sheetViews>
    <sheetView topLeftCell="A7" zoomScale="130" zoomScaleNormal="130" workbookViewId="0">
      <selection activeCell="B14" sqref="B14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413</v>
      </c>
      <c r="B8" s="340" t="s">
        <v>38</v>
      </c>
      <c r="C8" s="340" t="s">
        <v>3</v>
      </c>
      <c r="D8" s="342">
        <v>871.72</v>
      </c>
      <c r="E8" s="342">
        <v>0</v>
      </c>
      <c r="F8" s="342">
        <v>11562.18</v>
      </c>
    </row>
    <row r="9" spans="1:7" x14ac:dyDescent="0.25">
      <c r="A9" s="340" t="s">
        <v>413</v>
      </c>
      <c r="B9" s="340" t="s">
        <v>38</v>
      </c>
      <c r="C9" s="340" t="s">
        <v>323</v>
      </c>
      <c r="D9" s="342">
        <v>6916.53</v>
      </c>
      <c r="E9" s="342">
        <v>24121.29</v>
      </c>
      <c r="F9" s="342">
        <v>17455.91</v>
      </c>
    </row>
    <row r="10" spans="1:7" x14ac:dyDescent="0.25">
      <c r="A10" s="340" t="s">
        <v>413</v>
      </c>
      <c r="B10" s="340" t="s">
        <v>38</v>
      </c>
      <c r="C10" s="340" t="s">
        <v>41</v>
      </c>
      <c r="D10" s="342">
        <v>22751.88</v>
      </c>
      <c r="E10" s="342">
        <v>50808.56</v>
      </c>
      <c r="F10" s="342">
        <v>870719.71</v>
      </c>
    </row>
    <row r="11" spans="1:7" x14ac:dyDescent="0.25">
      <c r="A11" s="340" t="s">
        <v>413</v>
      </c>
      <c r="B11" s="340" t="s">
        <v>39</v>
      </c>
      <c r="C11" s="340" t="s">
        <v>41</v>
      </c>
      <c r="D11" s="342">
        <v>395.96</v>
      </c>
      <c r="E11" s="342">
        <v>9180.6299999999992</v>
      </c>
      <c r="F11" s="342">
        <v>85582.25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944280.14999999991</v>
      </c>
      <c r="E14" s="390"/>
      <c r="F14" s="417"/>
    </row>
    <row r="15" spans="1:7" x14ac:dyDescent="0.25">
      <c r="A15" s="336" t="s">
        <v>39</v>
      </c>
      <c r="B15" s="415">
        <f>SUM(D11:F11)</f>
        <v>95158.84</v>
      </c>
    </row>
    <row r="16" spans="1:7" x14ac:dyDescent="0.25">
      <c r="A16" s="336" t="s">
        <v>2</v>
      </c>
      <c r="B16" s="415">
        <f>SUM(D9:F9)</f>
        <v>48493.729999999996</v>
      </c>
    </row>
    <row r="17" spans="1:6" x14ac:dyDescent="0.25">
      <c r="A17" s="336" t="s">
        <v>3</v>
      </c>
      <c r="B17" s="415">
        <f>SUM(D8:F8)</f>
        <v>12433.9</v>
      </c>
    </row>
    <row r="18" spans="1:6" ht="15.75" thickBot="1" x14ac:dyDescent="0.3">
      <c r="A18" s="361"/>
      <c r="B18" s="416">
        <f>SUM(B14:B17)</f>
        <v>1100366.6199999999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23"/>
  <sheetViews>
    <sheetView zoomScale="130" zoomScaleNormal="130" workbookViewId="0">
      <selection activeCell="E19" sqref="E19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409</v>
      </c>
      <c r="B8" s="340" t="s">
        <v>38</v>
      </c>
      <c r="C8" s="340" t="s">
        <v>3</v>
      </c>
      <c r="D8" s="342">
        <v>0</v>
      </c>
      <c r="E8" s="342">
        <v>0</v>
      </c>
      <c r="F8" s="342">
        <v>11557.83</v>
      </c>
    </row>
    <row r="9" spans="1:7" x14ac:dyDescent="0.25">
      <c r="A9" s="340" t="s">
        <v>409</v>
      </c>
      <c r="B9" s="340" t="s">
        <v>38</v>
      </c>
      <c r="C9" s="340" t="s">
        <v>323</v>
      </c>
      <c r="D9" s="342">
        <v>26148.39</v>
      </c>
      <c r="E9" s="342">
        <v>8696.3700000000008</v>
      </c>
      <c r="F9" s="342">
        <v>10128.530000000001</v>
      </c>
    </row>
    <row r="10" spans="1:7" x14ac:dyDescent="0.25">
      <c r="A10" s="340" t="s">
        <v>409</v>
      </c>
      <c r="B10" s="340" t="s">
        <v>38</v>
      </c>
      <c r="C10" s="340" t="s">
        <v>41</v>
      </c>
      <c r="D10" s="342">
        <v>94192.09</v>
      </c>
      <c r="E10" s="342">
        <v>77046.399999999994</v>
      </c>
      <c r="F10" s="342">
        <v>839752.48</v>
      </c>
    </row>
    <row r="11" spans="1:7" x14ac:dyDescent="0.25">
      <c r="A11" s="340" t="s">
        <v>409</v>
      </c>
      <c r="B11" s="340" t="s">
        <v>39</v>
      </c>
      <c r="C11" s="340" t="s">
        <v>41</v>
      </c>
      <c r="D11" s="342">
        <v>15374.21</v>
      </c>
      <c r="E11" s="342">
        <v>24696.34</v>
      </c>
      <c r="F11" s="342">
        <v>73378.41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1010990.97</v>
      </c>
      <c r="E14" s="390"/>
      <c r="F14" s="417"/>
    </row>
    <row r="15" spans="1:7" x14ac:dyDescent="0.25">
      <c r="A15" s="336" t="s">
        <v>39</v>
      </c>
      <c r="B15" s="415">
        <f>SUM(D11:F11)</f>
        <v>113448.96000000001</v>
      </c>
    </row>
    <row r="16" spans="1:7" x14ac:dyDescent="0.25">
      <c r="A16" s="336" t="s">
        <v>2</v>
      </c>
      <c r="B16" s="415">
        <f>SUM(D9:F9)</f>
        <v>44973.29</v>
      </c>
    </row>
    <row r="17" spans="1:6" x14ac:dyDescent="0.25">
      <c r="A17" s="336" t="s">
        <v>3</v>
      </c>
      <c r="B17" s="415">
        <f>SUM(D8:F8)</f>
        <v>11557.83</v>
      </c>
    </row>
    <row r="18" spans="1:6" ht="15.75" thickBot="1" x14ac:dyDescent="0.3">
      <c r="A18" s="361"/>
      <c r="B18" s="416">
        <f>SUM(B14:B17)</f>
        <v>1180971.05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23"/>
  <sheetViews>
    <sheetView zoomScale="130" zoomScaleNormal="130" workbookViewId="0">
      <selection activeCell="F21" sqref="F2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409</v>
      </c>
      <c r="B8" s="340" t="s">
        <v>38</v>
      </c>
      <c r="C8" s="340" t="s">
        <v>3</v>
      </c>
      <c r="D8" s="342">
        <v>0</v>
      </c>
      <c r="E8" s="342">
        <v>863.05</v>
      </c>
      <c r="F8" s="342">
        <v>10701.42</v>
      </c>
    </row>
    <row r="9" spans="1:7" x14ac:dyDescent="0.25">
      <c r="A9" s="340" t="s">
        <v>409</v>
      </c>
      <c r="B9" s="340" t="s">
        <v>38</v>
      </c>
      <c r="C9" s="340" t="s">
        <v>323</v>
      </c>
      <c r="D9" s="342">
        <v>9392.2099999999991</v>
      </c>
      <c r="E9" s="342">
        <v>11742.23</v>
      </c>
      <c r="F9" s="342">
        <v>35480.050000000003</v>
      </c>
    </row>
    <row r="10" spans="1:7" x14ac:dyDescent="0.25">
      <c r="A10" s="340" t="s">
        <v>409</v>
      </c>
      <c r="B10" s="340" t="s">
        <v>38</v>
      </c>
      <c r="C10" s="340" t="s">
        <v>41</v>
      </c>
      <c r="D10" s="342">
        <v>108782.81</v>
      </c>
      <c r="E10" s="342">
        <v>34740.76</v>
      </c>
      <c r="F10" s="342">
        <v>852093.25</v>
      </c>
    </row>
    <row r="11" spans="1:7" x14ac:dyDescent="0.25">
      <c r="A11" s="340" t="s">
        <v>409</v>
      </c>
      <c r="B11" s="340" t="s">
        <v>39</v>
      </c>
      <c r="C11" s="340" t="s">
        <v>41</v>
      </c>
      <c r="D11" s="342">
        <v>29673.57</v>
      </c>
      <c r="E11" s="342">
        <v>8486.41</v>
      </c>
      <c r="F11" s="342">
        <v>78425.19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995616.82000000007</v>
      </c>
      <c r="E14" s="390"/>
      <c r="F14" s="417"/>
    </row>
    <row r="15" spans="1:7" x14ac:dyDescent="0.25">
      <c r="A15" s="336" t="s">
        <v>39</v>
      </c>
      <c r="B15" s="415">
        <f>SUM(D11:F11)</f>
        <v>116585.17</v>
      </c>
    </row>
    <row r="16" spans="1:7" x14ac:dyDescent="0.25">
      <c r="A16" s="336" t="s">
        <v>2</v>
      </c>
      <c r="B16" s="415">
        <f>SUM(D9:F9)</f>
        <v>56614.490000000005</v>
      </c>
    </row>
    <row r="17" spans="1:6" x14ac:dyDescent="0.25">
      <c r="A17" s="336" t="s">
        <v>3</v>
      </c>
      <c r="B17" s="415">
        <f>SUM(D8:F8)</f>
        <v>11564.47</v>
      </c>
    </row>
    <row r="18" spans="1:6" ht="15.75" thickBot="1" x14ac:dyDescent="0.3">
      <c r="A18" s="361"/>
      <c r="B18" s="416">
        <f>SUM(B14:B17)</f>
        <v>1180380.95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23"/>
  <sheetViews>
    <sheetView zoomScale="130" zoomScaleNormal="130" workbookViewId="0">
      <selection activeCell="G23" sqref="G23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409</v>
      </c>
      <c r="B8" s="340" t="s">
        <v>38</v>
      </c>
      <c r="C8" s="340" t="s">
        <v>3</v>
      </c>
      <c r="D8" s="342">
        <v>1101.33</v>
      </c>
      <c r="E8" s="342">
        <v>0</v>
      </c>
      <c r="F8" s="342">
        <v>10914.36</v>
      </c>
    </row>
    <row r="9" spans="1:7" x14ac:dyDescent="0.25">
      <c r="A9" s="340" t="s">
        <v>409</v>
      </c>
      <c r="B9" s="340" t="s">
        <v>38</v>
      </c>
      <c r="C9" s="340" t="s">
        <v>323</v>
      </c>
      <c r="D9" s="342">
        <v>15225.59</v>
      </c>
      <c r="E9" s="342">
        <v>1056.04</v>
      </c>
      <c r="F9" s="342">
        <v>34734.58</v>
      </c>
    </row>
    <row r="10" spans="1:7" x14ac:dyDescent="0.25">
      <c r="A10" s="340" t="s">
        <v>409</v>
      </c>
      <c r="B10" s="340" t="s">
        <v>38</v>
      </c>
      <c r="C10" s="340" t="s">
        <v>41</v>
      </c>
      <c r="D10" s="342">
        <v>48974.23</v>
      </c>
      <c r="E10" s="342">
        <v>39047.57</v>
      </c>
      <c r="F10" s="342">
        <v>843572.55</v>
      </c>
    </row>
    <row r="11" spans="1:7" x14ac:dyDescent="0.25">
      <c r="A11" s="340" t="s">
        <v>409</v>
      </c>
      <c r="B11" s="340" t="s">
        <v>39</v>
      </c>
      <c r="C11" s="340" t="s">
        <v>41</v>
      </c>
      <c r="D11" s="342">
        <v>11091.56</v>
      </c>
      <c r="E11" s="342">
        <v>8110.01</v>
      </c>
      <c r="F11" s="342">
        <v>89559.43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931594.35000000009</v>
      </c>
      <c r="E14" s="390"/>
      <c r="F14" s="417"/>
    </row>
    <row r="15" spans="1:7" x14ac:dyDescent="0.25">
      <c r="A15" s="336" t="s">
        <v>39</v>
      </c>
      <c r="B15" s="415">
        <f>SUM(D11:F11)</f>
        <v>108761</v>
      </c>
    </row>
    <row r="16" spans="1:7" x14ac:dyDescent="0.25">
      <c r="A16" s="336" t="s">
        <v>2</v>
      </c>
      <c r="B16" s="415">
        <f>SUM(D9:F9)</f>
        <v>51016.210000000006</v>
      </c>
    </row>
    <row r="17" spans="1:6" x14ac:dyDescent="0.25">
      <c r="A17" s="336" t="s">
        <v>3</v>
      </c>
      <c r="B17" s="415">
        <f>SUM(D8:F8)</f>
        <v>12015.69</v>
      </c>
    </row>
    <row r="18" spans="1:6" ht="15.75" thickBot="1" x14ac:dyDescent="0.3">
      <c r="A18" s="361"/>
      <c r="B18" s="416">
        <f>SUM(B14:B17)</f>
        <v>1103387.25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EB2C-4A24-40ED-B5FA-15AAA0AAE65C}">
  <dimension ref="A1:G23"/>
  <sheetViews>
    <sheetView zoomScale="130" zoomScaleNormal="130" workbookViewId="0">
      <selection activeCell="D8" sqref="D8:E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439</v>
      </c>
      <c r="B8" s="340" t="s">
        <v>38</v>
      </c>
      <c r="C8" s="340" t="s">
        <v>3</v>
      </c>
      <c r="D8" s="342">
        <v>0</v>
      </c>
      <c r="E8" s="342">
        <v>0</v>
      </c>
      <c r="F8" s="342">
        <v>2524.75</v>
      </c>
    </row>
    <row r="9" spans="1:7" x14ac:dyDescent="0.25">
      <c r="A9" s="340" t="s">
        <v>439</v>
      </c>
      <c r="B9" s="340" t="s">
        <v>38</v>
      </c>
      <c r="C9" s="340" t="s">
        <v>323</v>
      </c>
      <c r="D9" s="342">
        <v>5937.63</v>
      </c>
      <c r="E9" s="342">
        <v>2170.1799999999998</v>
      </c>
      <c r="F9" s="342">
        <v>6200.91</v>
      </c>
    </row>
    <row r="10" spans="1:7" x14ac:dyDescent="0.25">
      <c r="A10" s="340" t="s">
        <v>439</v>
      </c>
      <c r="B10" s="340" t="s">
        <v>38</v>
      </c>
      <c r="C10" s="340" t="s">
        <v>41</v>
      </c>
      <c r="D10" s="342">
        <v>149905.35999999999</v>
      </c>
      <c r="E10" s="342">
        <v>123053.63</v>
      </c>
      <c r="F10" s="342">
        <v>1318534.29</v>
      </c>
    </row>
    <row r="11" spans="1:7" x14ac:dyDescent="0.25">
      <c r="A11" s="340" t="s">
        <v>439</v>
      </c>
      <c r="B11" s="340" t="s">
        <v>39</v>
      </c>
      <c r="C11" s="340" t="s">
        <v>41</v>
      </c>
      <c r="D11" s="342">
        <v>23158.46</v>
      </c>
      <c r="E11" s="342">
        <v>28285.29</v>
      </c>
      <c r="F11" s="342">
        <v>88395.04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1591493.28</v>
      </c>
      <c r="E14" s="390"/>
      <c r="F14" s="417"/>
    </row>
    <row r="15" spans="1:7" x14ac:dyDescent="0.25">
      <c r="A15" s="336" t="s">
        <v>39</v>
      </c>
      <c r="B15" s="415">
        <f>SUM(D11:F11)</f>
        <v>139838.78999999998</v>
      </c>
    </row>
    <row r="16" spans="1:7" x14ac:dyDescent="0.25">
      <c r="A16" s="336" t="s">
        <v>2</v>
      </c>
      <c r="B16" s="415">
        <f>SUM(D9:F9)</f>
        <v>14308.72</v>
      </c>
    </row>
    <row r="17" spans="1:6" x14ac:dyDescent="0.25">
      <c r="A17" s="336" t="s">
        <v>3</v>
      </c>
      <c r="B17" s="415">
        <f>SUM(D8:F8)</f>
        <v>2524.75</v>
      </c>
    </row>
    <row r="18" spans="1:6" ht="15.75" thickBot="1" x14ac:dyDescent="0.3">
      <c r="A18" s="361"/>
      <c r="B18" s="416">
        <f>SUM(B14:B17)</f>
        <v>1748165.54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23"/>
  <sheetViews>
    <sheetView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409</v>
      </c>
      <c r="B8" s="340" t="s">
        <v>38</v>
      </c>
      <c r="C8" s="340" t="s">
        <v>3</v>
      </c>
      <c r="D8" s="342">
        <v>0</v>
      </c>
      <c r="E8" s="342">
        <v>0</v>
      </c>
      <c r="F8" s="342">
        <v>10896.83</v>
      </c>
    </row>
    <row r="9" spans="1:7" x14ac:dyDescent="0.25">
      <c r="A9" s="340" t="s">
        <v>409</v>
      </c>
      <c r="B9" s="340" t="s">
        <v>38</v>
      </c>
      <c r="C9" s="340" t="s">
        <v>323</v>
      </c>
      <c r="D9" s="342">
        <v>1467.75</v>
      </c>
      <c r="E9" s="342">
        <v>710</v>
      </c>
      <c r="F9" s="342">
        <v>38999.910000000003</v>
      </c>
    </row>
    <row r="10" spans="1:7" x14ac:dyDescent="0.25">
      <c r="A10" s="340" t="s">
        <v>409</v>
      </c>
      <c r="B10" s="340" t="s">
        <v>38</v>
      </c>
      <c r="C10" s="340" t="s">
        <v>41</v>
      </c>
      <c r="D10" s="342">
        <v>48348.15</v>
      </c>
      <c r="E10" s="342">
        <v>54250.51</v>
      </c>
      <c r="F10" s="342">
        <v>840732.19</v>
      </c>
    </row>
    <row r="11" spans="1:7" x14ac:dyDescent="0.25">
      <c r="A11" s="340" t="s">
        <v>409</v>
      </c>
      <c r="B11" s="340" t="s">
        <v>39</v>
      </c>
      <c r="C11" s="340" t="s">
        <v>41</v>
      </c>
      <c r="D11" s="342">
        <v>10511.99</v>
      </c>
      <c r="E11" s="342">
        <v>23989.72</v>
      </c>
      <c r="F11" s="342">
        <v>77378.5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943330.85</v>
      </c>
      <c r="E14" s="390"/>
      <c r="F14" s="417"/>
    </row>
    <row r="15" spans="1:7" x14ac:dyDescent="0.25">
      <c r="A15" s="336" t="s">
        <v>39</v>
      </c>
      <c r="B15" s="415">
        <f>SUM(D11:F11)</f>
        <v>111880.20999999999</v>
      </c>
    </row>
    <row r="16" spans="1:7" x14ac:dyDescent="0.25">
      <c r="A16" s="336" t="s">
        <v>2</v>
      </c>
      <c r="B16" s="415">
        <f>SUM(D9:F9)</f>
        <v>41177.660000000003</v>
      </c>
    </row>
    <row r="17" spans="1:6" x14ac:dyDescent="0.25">
      <c r="A17" s="336" t="s">
        <v>3</v>
      </c>
      <c r="B17" s="415">
        <f>SUM(D8:F8)</f>
        <v>10896.83</v>
      </c>
    </row>
    <row r="18" spans="1:6" ht="15.75" thickBot="1" x14ac:dyDescent="0.3">
      <c r="A18" s="361"/>
      <c r="B18" s="416">
        <f>SUM(B14:B17)</f>
        <v>1107285.55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23"/>
  <sheetViews>
    <sheetView zoomScale="130" zoomScaleNormal="130" workbookViewId="0">
      <selection activeCell="H24" sqref="H24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409</v>
      </c>
      <c r="B8" s="340" t="s">
        <v>38</v>
      </c>
      <c r="C8" s="340" t="s">
        <v>3</v>
      </c>
      <c r="D8" s="342">
        <v>0</v>
      </c>
      <c r="E8" s="342">
        <v>1005.45</v>
      </c>
      <c r="F8" s="342">
        <v>10129.89</v>
      </c>
    </row>
    <row r="9" spans="1:7" x14ac:dyDescent="0.25">
      <c r="A9" s="340" t="s">
        <v>409</v>
      </c>
      <c r="B9" s="340" t="s">
        <v>38</v>
      </c>
      <c r="C9" s="340" t="s">
        <v>323</v>
      </c>
      <c r="D9" s="342">
        <v>713.54</v>
      </c>
      <c r="E9" s="342">
        <v>0</v>
      </c>
      <c r="F9" s="342">
        <v>39738.97</v>
      </c>
    </row>
    <row r="10" spans="1:7" x14ac:dyDescent="0.25">
      <c r="A10" s="340" t="s">
        <v>409</v>
      </c>
      <c r="B10" s="340" t="s">
        <v>38</v>
      </c>
      <c r="C10" s="340" t="s">
        <v>41</v>
      </c>
      <c r="D10" s="342">
        <v>70246.009999999995</v>
      </c>
      <c r="E10" s="342">
        <v>24206.1</v>
      </c>
      <c r="F10" s="342">
        <v>848251.94</v>
      </c>
    </row>
    <row r="11" spans="1:7" x14ac:dyDescent="0.25">
      <c r="A11" s="340" t="s">
        <v>409</v>
      </c>
      <c r="B11" s="340" t="s">
        <v>39</v>
      </c>
      <c r="C11" s="340" t="s">
        <v>41</v>
      </c>
      <c r="D11" s="342">
        <v>23896.799999999999</v>
      </c>
      <c r="E11" s="342">
        <v>10400.91</v>
      </c>
      <c r="F11" s="342">
        <v>76616.41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942704.04999999993</v>
      </c>
      <c r="E14" s="390"/>
      <c r="F14" s="417"/>
    </row>
    <row r="15" spans="1:7" x14ac:dyDescent="0.25">
      <c r="A15" s="336" t="s">
        <v>39</v>
      </c>
      <c r="B15" s="415">
        <f>SUM(D11:F11)</f>
        <v>110914.12</v>
      </c>
    </row>
    <row r="16" spans="1:7" x14ac:dyDescent="0.25">
      <c r="A16" s="336" t="s">
        <v>2</v>
      </c>
      <c r="B16" s="415">
        <f>SUM(D9:F9)</f>
        <v>40452.51</v>
      </c>
    </row>
    <row r="17" spans="1:6" x14ac:dyDescent="0.25">
      <c r="A17" s="336" t="s">
        <v>3</v>
      </c>
      <c r="B17" s="415">
        <f>SUM(D8:F8)</f>
        <v>11135.34</v>
      </c>
    </row>
    <row r="18" spans="1:6" ht="15.75" thickBot="1" x14ac:dyDescent="0.3">
      <c r="A18" s="361"/>
      <c r="B18" s="416">
        <f>SUM(B14:B17)</f>
        <v>1105206.02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23"/>
  <sheetViews>
    <sheetView zoomScale="130" zoomScaleNormal="130" workbookViewId="0">
      <selection activeCell="C18" sqref="C18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409</v>
      </c>
      <c r="B8" s="340" t="s">
        <v>38</v>
      </c>
      <c r="C8" s="340" t="s">
        <v>3</v>
      </c>
      <c r="D8" s="342">
        <v>1085.45</v>
      </c>
      <c r="E8" s="342">
        <v>0</v>
      </c>
      <c r="F8" s="342">
        <v>10129.89</v>
      </c>
    </row>
    <row r="9" spans="1:7" x14ac:dyDescent="0.25">
      <c r="A9" s="340" t="s">
        <v>409</v>
      </c>
      <c r="B9" s="340" t="s">
        <v>38</v>
      </c>
      <c r="C9" s="340" t="s">
        <v>323</v>
      </c>
      <c r="D9" s="342">
        <v>75</v>
      </c>
      <c r="E9" s="342">
        <v>16614.419999999998</v>
      </c>
      <c r="F9" s="342">
        <v>56234.39</v>
      </c>
    </row>
    <row r="10" spans="1:7" x14ac:dyDescent="0.25">
      <c r="A10" s="340" t="s">
        <v>409</v>
      </c>
      <c r="B10" s="340" t="s">
        <v>38</v>
      </c>
      <c r="C10" s="340" t="s">
        <v>41</v>
      </c>
      <c r="D10" s="342">
        <v>38546.28</v>
      </c>
      <c r="E10" s="342">
        <v>33421.4</v>
      </c>
      <c r="F10" s="342">
        <v>855223.41</v>
      </c>
    </row>
    <row r="11" spans="1:7" x14ac:dyDescent="0.25">
      <c r="A11" s="340" t="s">
        <v>409</v>
      </c>
      <c r="B11" s="340" t="s">
        <v>39</v>
      </c>
      <c r="C11" s="340" t="s">
        <v>41</v>
      </c>
      <c r="D11" s="342">
        <v>12669.21</v>
      </c>
      <c r="E11" s="342">
        <v>10033.43</v>
      </c>
      <c r="F11" s="342">
        <v>78912.800000000003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927191.09000000008</v>
      </c>
      <c r="E14" s="390"/>
      <c r="F14" s="417"/>
    </row>
    <row r="15" spans="1:7" x14ac:dyDescent="0.25">
      <c r="A15" s="336" t="s">
        <v>39</v>
      </c>
      <c r="B15" s="415">
        <f>SUM(D11:F11)</f>
        <v>101615.44</v>
      </c>
    </row>
    <row r="16" spans="1:7" x14ac:dyDescent="0.25">
      <c r="A16" s="336" t="s">
        <v>2</v>
      </c>
      <c r="B16" s="415">
        <f>SUM(D9:F9)</f>
        <v>72923.81</v>
      </c>
    </row>
    <row r="17" spans="1:6" x14ac:dyDescent="0.25">
      <c r="A17" s="336" t="s">
        <v>3</v>
      </c>
      <c r="B17" s="415">
        <f>SUM(D8:F8)</f>
        <v>11215.34</v>
      </c>
    </row>
    <row r="18" spans="1:6" ht="15.75" thickBot="1" x14ac:dyDescent="0.3">
      <c r="A18" s="361"/>
      <c r="B18" s="416">
        <f>SUM(B14:B17)</f>
        <v>1112945.6800000002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3"/>
  <sheetViews>
    <sheetView zoomScale="130" zoomScaleNormal="130" workbookViewId="0">
      <selection activeCell="A7" sqref="A7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409</v>
      </c>
      <c r="B8" s="340" t="s">
        <v>38</v>
      </c>
      <c r="C8" s="340" t="s">
        <v>3</v>
      </c>
      <c r="D8" s="342">
        <v>0</v>
      </c>
      <c r="E8" s="342">
        <v>0</v>
      </c>
      <c r="F8" s="342">
        <v>10160.18</v>
      </c>
    </row>
    <row r="9" spans="1:7" x14ac:dyDescent="0.25">
      <c r="A9" s="340" t="s">
        <v>409</v>
      </c>
      <c r="B9" s="340" t="s">
        <v>38</v>
      </c>
      <c r="C9" s="340" t="s">
        <v>323</v>
      </c>
      <c r="D9" s="342">
        <v>52281.43</v>
      </c>
      <c r="E9" s="342">
        <v>7.74</v>
      </c>
      <c r="F9" s="342">
        <v>56433.87</v>
      </c>
    </row>
    <row r="10" spans="1:7" x14ac:dyDescent="0.25">
      <c r="A10" s="340" t="s">
        <v>409</v>
      </c>
      <c r="B10" s="340" t="s">
        <v>38</v>
      </c>
      <c r="C10" s="340" t="s">
        <v>41</v>
      </c>
      <c r="D10" s="342">
        <v>49942.73</v>
      </c>
      <c r="E10" s="342">
        <v>70356.34</v>
      </c>
      <c r="F10" s="342">
        <v>821937.8</v>
      </c>
    </row>
    <row r="11" spans="1:7" x14ac:dyDescent="0.25">
      <c r="A11" s="340" t="s">
        <v>409</v>
      </c>
      <c r="B11" s="340" t="s">
        <v>39</v>
      </c>
      <c r="C11" s="340" t="s">
        <v>41</v>
      </c>
      <c r="D11" s="342">
        <v>14079.2</v>
      </c>
      <c r="E11" s="342">
        <v>21714.09</v>
      </c>
      <c r="F11" s="342">
        <v>73259.63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942236.87000000011</v>
      </c>
      <c r="E14" s="390"/>
      <c r="F14" s="417"/>
    </row>
    <row r="15" spans="1:7" x14ac:dyDescent="0.25">
      <c r="A15" s="336" t="s">
        <v>39</v>
      </c>
      <c r="B15" s="415">
        <f>SUM(D11:F11)</f>
        <v>109052.92000000001</v>
      </c>
    </row>
    <row r="16" spans="1:7" x14ac:dyDescent="0.25">
      <c r="A16" s="336" t="s">
        <v>2</v>
      </c>
      <c r="B16" s="415">
        <f>SUM(D9:F9)</f>
        <v>108723.04000000001</v>
      </c>
    </row>
    <row r="17" spans="1:6" x14ac:dyDescent="0.25">
      <c r="A17" s="336" t="s">
        <v>3</v>
      </c>
      <c r="B17" s="415">
        <f>SUM(D8:F8)</f>
        <v>10160.18</v>
      </c>
    </row>
    <row r="18" spans="1:6" ht="15.75" thickBot="1" x14ac:dyDescent="0.3">
      <c r="A18" s="361"/>
      <c r="B18" s="416">
        <f>SUM(B14:B17)</f>
        <v>1170173.01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23"/>
  <sheetViews>
    <sheetView zoomScale="130" zoomScaleNormal="130" workbookViewId="0">
      <selection activeCell="L16" sqref="L16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409</v>
      </c>
      <c r="B8" s="340" t="s">
        <v>38</v>
      </c>
      <c r="C8" s="340" t="s">
        <v>3</v>
      </c>
      <c r="D8" s="342">
        <v>0</v>
      </c>
      <c r="E8" s="342">
        <v>954.82</v>
      </c>
      <c r="F8" s="342">
        <v>9314.5499999999993</v>
      </c>
    </row>
    <row r="9" spans="1:7" x14ac:dyDescent="0.25">
      <c r="A9" s="340" t="s">
        <v>409</v>
      </c>
      <c r="B9" s="340" t="s">
        <v>38</v>
      </c>
      <c r="C9" s="340" t="s">
        <v>323</v>
      </c>
      <c r="D9" s="342">
        <v>406.37</v>
      </c>
      <c r="E9" s="342">
        <v>4317.1499999999996</v>
      </c>
      <c r="F9" s="342">
        <v>89087.56</v>
      </c>
    </row>
    <row r="10" spans="1:7" x14ac:dyDescent="0.25">
      <c r="A10" s="340" t="s">
        <v>409</v>
      </c>
      <c r="B10" s="340" t="s">
        <v>38</v>
      </c>
      <c r="C10" s="340" t="s">
        <v>41</v>
      </c>
      <c r="D10" s="342">
        <v>89959.23</v>
      </c>
      <c r="E10" s="342">
        <v>27363.45</v>
      </c>
      <c r="F10" s="342">
        <v>852900.01</v>
      </c>
    </row>
    <row r="11" spans="1:7" x14ac:dyDescent="0.25">
      <c r="A11" s="340" t="s">
        <v>409</v>
      </c>
      <c r="B11" s="340" t="s">
        <v>39</v>
      </c>
      <c r="C11" s="340" t="s">
        <v>41</v>
      </c>
      <c r="D11" s="342">
        <v>23592.41</v>
      </c>
      <c r="E11" s="342">
        <v>12811.87</v>
      </c>
      <c r="F11" s="342">
        <v>71960.75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970222.69</v>
      </c>
      <c r="E14" s="390"/>
      <c r="F14" s="417"/>
    </row>
    <row r="15" spans="1:7" x14ac:dyDescent="0.25">
      <c r="A15" s="336" t="s">
        <v>39</v>
      </c>
      <c r="B15" s="415">
        <f>SUM(D11:F11)</f>
        <v>108365.03</v>
      </c>
    </row>
    <row r="16" spans="1:7" x14ac:dyDescent="0.25">
      <c r="A16" s="336" t="s">
        <v>2</v>
      </c>
      <c r="B16" s="415">
        <f>SUM(D9:F9)</f>
        <v>93811.08</v>
      </c>
    </row>
    <row r="17" spans="1:6" x14ac:dyDescent="0.25">
      <c r="A17" s="336" t="s">
        <v>3</v>
      </c>
      <c r="B17" s="415">
        <f>SUM(D8:F8)</f>
        <v>10269.369999999999</v>
      </c>
    </row>
    <row r="18" spans="1:6" ht="15.75" thickBot="1" x14ac:dyDescent="0.3">
      <c r="A18" s="361"/>
      <c r="B18" s="416">
        <f>SUM(B14:B17)</f>
        <v>1182668.1700000002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23"/>
  <sheetViews>
    <sheetView zoomScale="130" zoomScaleNormal="130" workbookViewId="0">
      <selection activeCell="J8" sqref="J8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409</v>
      </c>
      <c r="B8" s="340" t="s">
        <v>38</v>
      </c>
      <c r="C8" s="340" t="s">
        <v>3</v>
      </c>
      <c r="D8" s="342">
        <v>1005.81</v>
      </c>
      <c r="E8" s="342">
        <v>0</v>
      </c>
      <c r="F8" s="342">
        <v>9330.76</v>
      </c>
    </row>
    <row r="9" spans="1:7" x14ac:dyDescent="0.25">
      <c r="A9" s="340" t="s">
        <v>409</v>
      </c>
      <c r="B9" s="340" t="s">
        <v>38</v>
      </c>
      <c r="C9" s="340" t="s">
        <v>323</v>
      </c>
      <c r="D9" s="342">
        <v>4317.1499999999996</v>
      </c>
      <c r="E9" s="342">
        <v>21819.1</v>
      </c>
      <c r="F9" s="342">
        <v>67561.08</v>
      </c>
    </row>
    <row r="10" spans="1:7" x14ac:dyDescent="0.25">
      <c r="A10" s="340" t="s">
        <v>409</v>
      </c>
      <c r="B10" s="340" t="s">
        <v>38</v>
      </c>
      <c r="C10" s="340" t="s">
        <v>41</v>
      </c>
      <c r="D10" s="342">
        <v>39590.410000000003</v>
      </c>
      <c r="E10" s="342">
        <v>51427.42</v>
      </c>
      <c r="F10" s="342">
        <v>849936.35</v>
      </c>
    </row>
    <row r="11" spans="1:7" x14ac:dyDescent="0.25">
      <c r="A11" s="340" t="s">
        <v>409</v>
      </c>
      <c r="B11" s="340" t="s">
        <v>39</v>
      </c>
      <c r="C11" s="340" t="s">
        <v>41</v>
      </c>
      <c r="D11" s="342">
        <v>14907.29</v>
      </c>
      <c r="E11" s="342">
        <v>11132.27</v>
      </c>
      <c r="F11" s="342">
        <v>75114.080000000002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940954.17999999993</v>
      </c>
      <c r="E14" s="390"/>
      <c r="F14" s="417"/>
    </row>
    <row r="15" spans="1:7" x14ac:dyDescent="0.25">
      <c r="A15" s="336" t="s">
        <v>39</v>
      </c>
      <c r="B15" s="415">
        <f>SUM(D11:F11)</f>
        <v>101153.64</v>
      </c>
    </row>
    <row r="16" spans="1:7" x14ac:dyDescent="0.25">
      <c r="A16" s="336" t="s">
        <v>2</v>
      </c>
      <c r="B16" s="415">
        <f>SUM(D9:F9)</f>
        <v>93697.33</v>
      </c>
    </row>
    <row r="17" spans="1:6" x14ac:dyDescent="0.25">
      <c r="A17" s="336" t="s">
        <v>3</v>
      </c>
      <c r="B17" s="415">
        <f>SUM(D8:F8)</f>
        <v>10336.57</v>
      </c>
    </row>
    <row r="18" spans="1:6" ht="15.75" thickBot="1" x14ac:dyDescent="0.3">
      <c r="A18" s="361"/>
      <c r="B18" s="416">
        <f>SUM(B14:B17)</f>
        <v>1146141.72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23"/>
  <sheetViews>
    <sheetView zoomScale="130" zoomScaleNormal="130" workbookViewId="0">
      <selection activeCell="I18" sqref="I18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409</v>
      </c>
      <c r="B8" s="340" t="s">
        <v>38</v>
      </c>
      <c r="C8" s="340" t="s">
        <v>3</v>
      </c>
      <c r="D8" s="342">
        <v>0</v>
      </c>
      <c r="E8" s="342">
        <v>0</v>
      </c>
      <c r="F8" s="342">
        <v>9483.85</v>
      </c>
    </row>
    <row r="9" spans="1:7" x14ac:dyDescent="0.25">
      <c r="A9" s="340" t="s">
        <v>409</v>
      </c>
      <c r="B9" s="340" t="s">
        <v>38</v>
      </c>
      <c r="C9" s="340" t="s">
        <v>323</v>
      </c>
      <c r="D9" s="342">
        <v>27315.34</v>
      </c>
      <c r="E9" s="342">
        <v>97368.82</v>
      </c>
      <c r="F9" s="342">
        <v>2084.3000000000002</v>
      </c>
    </row>
    <row r="10" spans="1:7" x14ac:dyDescent="0.25">
      <c r="A10" s="340" t="s">
        <v>409</v>
      </c>
      <c r="B10" s="340" t="s">
        <v>38</v>
      </c>
      <c r="C10" s="340" t="s">
        <v>41</v>
      </c>
      <c r="D10" s="342">
        <v>69716.11</v>
      </c>
      <c r="E10" s="342">
        <v>102776.49</v>
      </c>
      <c r="F10" s="342">
        <v>836839.23</v>
      </c>
    </row>
    <row r="11" spans="1:7" x14ac:dyDescent="0.25">
      <c r="A11" s="340" t="s">
        <v>409</v>
      </c>
      <c r="B11" s="340" t="s">
        <v>39</v>
      </c>
      <c r="C11" s="340" t="s">
        <v>41</v>
      </c>
      <c r="D11" s="342">
        <v>15030.18</v>
      </c>
      <c r="E11" s="342">
        <v>25220.28</v>
      </c>
      <c r="F11" s="342">
        <v>69988.34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1009331.83</v>
      </c>
      <c r="E14" s="390"/>
      <c r="F14" s="417"/>
    </row>
    <row r="15" spans="1:7" x14ac:dyDescent="0.25">
      <c r="A15" s="336" t="s">
        <v>39</v>
      </c>
      <c r="B15" s="415">
        <f>SUM(D11:F11)</f>
        <v>110238.79999999999</v>
      </c>
    </row>
    <row r="16" spans="1:7" x14ac:dyDescent="0.25">
      <c r="A16" s="336" t="s">
        <v>2</v>
      </c>
      <c r="B16" s="415">
        <f>SUM(D9:F9)</f>
        <v>126768.46</v>
      </c>
    </row>
    <row r="17" spans="1:6" x14ac:dyDescent="0.25">
      <c r="A17" s="336" t="s">
        <v>3</v>
      </c>
      <c r="B17" s="415">
        <f>SUM(D8:F8)</f>
        <v>9483.85</v>
      </c>
    </row>
    <row r="18" spans="1:6" ht="15.75" thickBot="1" x14ac:dyDescent="0.3">
      <c r="A18" s="361"/>
      <c r="B18" s="416">
        <f>SUM(B14:B17)</f>
        <v>1255822.94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23"/>
  <sheetViews>
    <sheetView zoomScale="130" zoomScaleNormal="130" workbookViewId="0">
      <selection activeCell="H16" sqref="H16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409</v>
      </c>
      <c r="B8" s="340" t="s">
        <v>38</v>
      </c>
      <c r="C8" s="340" t="s">
        <v>3</v>
      </c>
      <c r="D8" s="342">
        <v>0</v>
      </c>
      <c r="E8" s="342">
        <v>913.83</v>
      </c>
      <c r="F8" s="342">
        <v>8619.6299999999992</v>
      </c>
    </row>
    <row r="9" spans="1:7" x14ac:dyDescent="0.25">
      <c r="A9" s="340" t="s">
        <v>409</v>
      </c>
      <c r="B9" s="340" t="s">
        <v>38</v>
      </c>
      <c r="C9" s="340" t="s">
        <v>323</v>
      </c>
      <c r="D9" s="342">
        <v>106663.97</v>
      </c>
      <c r="E9" s="342">
        <v>10747.78</v>
      </c>
      <c r="F9" s="342">
        <v>1049.57</v>
      </c>
    </row>
    <row r="10" spans="1:7" x14ac:dyDescent="0.25">
      <c r="A10" s="340" t="s">
        <v>409</v>
      </c>
      <c r="B10" s="340" t="s">
        <v>38</v>
      </c>
      <c r="C10" s="340" t="s">
        <v>41</v>
      </c>
      <c r="D10" s="342">
        <v>129528.5</v>
      </c>
      <c r="E10" s="342">
        <v>36182.65</v>
      </c>
      <c r="F10" s="342">
        <v>903952.2</v>
      </c>
    </row>
    <row r="11" spans="1:7" x14ac:dyDescent="0.25">
      <c r="A11" s="340" t="s">
        <v>409</v>
      </c>
      <c r="B11" s="340" t="s">
        <v>39</v>
      </c>
      <c r="C11" s="340" t="s">
        <v>41</v>
      </c>
      <c r="D11" s="342">
        <v>27564.59</v>
      </c>
      <c r="E11" s="342">
        <v>9476.33</v>
      </c>
      <c r="F11" s="342">
        <v>73395.08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1069663.3499999999</v>
      </c>
      <c r="E14" s="390"/>
      <c r="F14" s="417"/>
    </row>
    <row r="15" spans="1:7" x14ac:dyDescent="0.25">
      <c r="A15" s="336" t="s">
        <v>39</v>
      </c>
      <c r="B15" s="415">
        <f>SUM(D11:F11)</f>
        <v>110436</v>
      </c>
    </row>
    <row r="16" spans="1:7" x14ac:dyDescent="0.25">
      <c r="A16" s="336" t="s">
        <v>2</v>
      </c>
      <c r="B16" s="415">
        <f>SUM(D9:F9)</f>
        <v>118461.32</v>
      </c>
    </row>
    <row r="17" spans="1:6" x14ac:dyDescent="0.25">
      <c r="A17" s="336" t="s">
        <v>3</v>
      </c>
      <c r="B17" s="415">
        <f>SUM(D8:F8)</f>
        <v>9533.4599999999991</v>
      </c>
    </row>
    <row r="18" spans="1:6" ht="15.75" thickBot="1" x14ac:dyDescent="0.3">
      <c r="A18" s="361"/>
      <c r="B18" s="416">
        <f>SUM(B14:B17)</f>
        <v>1308094.1299999999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23"/>
  <sheetViews>
    <sheetView zoomScale="130" zoomScaleNormal="130" workbookViewId="0">
      <selection activeCell="D22" sqref="D22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409</v>
      </c>
      <c r="B8" s="340" t="s">
        <v>38</v>
      </c>
      <c r="C8" s="340" t="s">
        <v>3</v>
      </c>
      <c r="D8" s="342">
        <v>1047.6199999999999</v>
      </c>
      <c r="E8" s="342">
        <v>0</v>
      </c>
      <c r="F8" s="342">
        <v>8619.6299999999992</v>
      </c>
    </row>
    <row r="9" spans="1:7" x14ac:dyDescent="0.25">
      <c r="A9" s="340" t="s">
        <v>409</v>
      </c>
      <c r="B9" s="340" t="s">
        <v>38</v>
      </c>
      <c r="C9" s="340" t="s">
        <v>323</v>
      </c>
      <c r="D9" s="342">
        <v>10784.65</v>
      </c>
      <c r="E9" s="342">
        <v>1045.6099999999999</v>
      </c>
      <c r="F9" s="342">
        <v>3.96</v>
      </c>
    </row>
    <row r="10" spans="1:7" x14ac:dyDescent="0.25">
      <c r="A10" s="340" t="s">
        <v>409</v>
      </c>
      <c r="B10" s="340" t="s">
        <v>38</v>
      </c>
      <c r="C10" s="340" t="s">
        <v>41</v>
      </c>
      <c r="D10" s="342">
        <v>50917.32</v>
      </c>
      <c r="E10" s="342">
        <v>44795.199999999997</v>
      </c>
      <c r="F10" s="342">
        <v>904336.07</v>
      </c>
    </row>
    <row r="11" spans="1:7" x14ac:dyDescent="0.25">
      <c r="A11" s="340" t="s">
        <v>409</v>
      </c>
      <c r="B11" s="340" t="s">
        <v>39</v>
      </c>
      <c r="C11" s="340" t="s">
        <v>41</v>
      </c>
      <c r="D11" s="342">
        <v>11824.44</v>
      </c>
      <c r="E11" s="342">
        <v>17422.150000000001</v>
      </c>
      <c r="F11" s="342">
        <v>71452.72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1000048.59</v>
      </c>
      <c r="E14" s="390"/>
      <c r="F14" s="417"/>
    </row>
    <row r="15" spans="1:7" x14ac:dyDescent="0.25">
      <c r="A15" s="336" t="s">
        <v>39</v>
      </c>
      <c r="B15" s="415">
        <f>SUM(D11:F11)</f>
        <v>100699.31</v>
      </c>
    </row>
    <row r="16" spans="1:7" x14ac:dyDescent="0.25">
      <c r="A16" s="336" t="s">
        <v>2</v>
      </c>
      <c r="B16" s="415">
        <f>SUM(D9:F9)</f>
        <v>11834.22</v>
      </c>
    </row>
    <row r="17" spans="1:6" x14ac:dyDescent="0.25">
      <c r="A17" s="336" t="s">
        <v>3</v>
      </c>
      <c r="B17" s="415">
        <f>SUM(D8:F8)</f>
        <v>9667.25</v>
      </c>
    </row>
    <row r="18" spans="1:6" ht="15.75" thickBot="1" x14ac:dyDescent="0.3">
      <c r="A18" s="361"/>
      <c r="B18" s="416">
        <f>SUM(B14:B17)</f>
        <v>1122249.3699999999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23"/>
  <sheetViews>
    <sheetView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400</v>
      </c>
      <c r="B8" s="340" t="s">
        <v>38</v>
      </c>
      <c r="C8" s="340" t="s">
        <v>3</v>
      </c>
      <c r="D8" s="342">
        <v>0</v>
      </c>
      <c r="E8" s="342">
        <v>0</v>
      </c>
      <c r="F8" s="342">
        <v>8989.1200000000008</v>
      </c>
    </row>
    <row r="9" spans="1:7" x14ac:dyDescent="0.25">
      <c r="A9" s="340" t="s">
        <v>400</v>
      </c>
      <c r="B9" s="340" t="s">
        <v>38</v>
      </c>
      <c r="C9" s="340" t="s">
        <v>323</v>
      </c>
      <c r="D9" s="342">
        <v>13066.53</v>
      </c>
      <c r="E9" s="342">
        <v>18.739999999999998</v>
      </c>
      <c r="F9" s="342">
        <v>3.93</v>
      </c>
    </row>
    <row r="10" spans="1:7" x14ac:dyDescent="0.25">
      <c r="A10" s="340" t="s">
        <v>400</v>
      </c>
      <c r="B10" s="340" t="s">
        <v>38</v>
      </c>
      <c r="C10" s="340" t="s">
        <v>41</v>
      </c>
      <c r="D10" s="342">
        <v>70367.179999999993</v>
      </c>
      <c r="E10" s="342">
        <v>113096.67</v>
      </c>
      <c r="F10" s="342">
        <v>854360.54</v>
      </c>
    </row>
    <row r="11" spans="1:7" x14ac:dyDescent="0.25">
      <c r="A11" s="340" t="s">
        <v>400</v>
      </c>
      <c r="B11" s="340" t="s">
        <v>39</v>
      </c>
      <c r="C11" s="340" t="s">
        <v>41</v>
      </c>
      <c r="D11" s="342">
        <v>21864.91</v>
      </c>
      <c r="E11" s="342">
        <v>21125.62</v>
      </c>
      <c r="F11" s="342">
        <v>66730.490000000005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1037824.39</v>
      </c>
      <c r="E14" s="390"/>
      <c r="F14" s="417"/>
    </row>
    <row r="15" spans="1:7" x14ac:dyDescent="0.25">
      <c r="A15" s="336" t="s">
        <v>39</v>
      </c>
      <c r="B15" s="415">
        <f>SUM(D11:F11)</f>
        <v>109721.02</v>
      </c>
    </row>
    <row r="16" spans="1:7" x14ac:dyDescent="0.25">
      <c r="A16" s="336" t="s">
        <v>2</v>
      </c>
      <c r="B16" s="415">
        <f>SUM(D9:F9)</f>
        <v>13089.2</v>
      </c>
    </row>
    <row r="17" spans="1:6" x14ac:dyDescent="0.25">
      <c r="A17" s="336" t="s">
        <v>3</v>
      </c>
      <c r="B17" s="415">
        <f>SUM(D8:F8)</f>
        <v>8989.1200000000008</v>
      </c>
    </row>
    <row r="18" spans="1:6" ht="15.75" thickBot="1" x14ac:dyDescent="0.3">
      <c r="A18" s="361"/>
      <c r="B18" s="416">
        <f>SUM(B14:B17)</f>
        <v>1169623.73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1C0EC-830F-4879-96D9-43FF0B3E64BE}">
  <dimension ref="A1:G23"/>
  <sheetViews>
    <sheetView zoomScale="130" zoomScaleNormal="130" workbookViewId="0">
      <selection activeCell="A7" sqref="A7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439</v>
      </c>
      <c r="B8" s="340" t="s">
        <v>38</v>
      </c>
      <c r="C8" s="340" t="s">
        <v>3</v>
      </c>
      <c r="D8" s="342">
        <v>0</v>
      </c>
      <c r="E8" s="342">
        <v>20</v>
      </c>
      <c r="F8" s="342">
        <v>2504.75</v>
      </c>
    </row>
    <row r="9" spans="1:7" x14ac:dyDescent="0.25">
      <c r="A9" s="340" t="s">
        <v>439</v>
      </c>
      <c r="B9" s="340" t="s">
        <v>38</v>
      </c>
      <c r="C9" s="340" t="s">
        <v>323</v>
      </c>
      <c r="D9" s="342">
        <v>2156.9</v>
      </c>
      <c r="E9" s="342">
        <v>1261.6500000000001</v>
      </c>
      <c r="F9" s="342">
        <v>5929.24</v>
      </c>
    </row>
    <row r="10" spans="1:7" x14ac:dyDescent="0.25">
      <c r="A10" s="340" t="s">
        <v>439</v>
      </c>
      <c r="B10" s="340" t="s">
        <v>38</v>
      </c>
      <c r="C10" s="340" t="s">
        <v>41</v>
      </c>
      <c r="D10" s="342">
        <v>177575.93</v>
      </c>
      <c r="E10" s="342">
        <v>64948.53</v>
      </c>
      <c r="F10" s="342">
        <v>1316079.3799999999</v>
      </c>
    </row>
    <row r="11" spans="1:7" x14ac:dyDescent="0.25">
      <c r="A11" s="340" t="s">
        <v>439</v>
      </c>
      <c r="B11" s="340" t="s">
        <v>39</v>
      </c>
      <c r="C11" s="340" t="s">
        <v>41</v>
      </c>
      <c r="D11" s="342">
        <v>34115.07</v>
      </c>
      <c r="E11" s="342">
        <v>8146.27</v>
      </c>
      <c r="F11" s="342">
        <v>94431.37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1558603.8399999999</v>
      </c>
      <c r="E14" s="390"/>
      <c r="F14" s="417"/>
    </row>
    <row r="15" spans="1:7" x14ac:dyDescent="0.25">
      <c r="A15" s="336" t="s">
        <v>39</v>
      </c>
      <c r="B15" s="415">
        <f>SUM(D11:F11)</f>
        <v>136692.71</v>
      </c>
    </row>
    <row r="16" spans="1:7" x14ac:dyDescent="0.25">
      <c r="A16" s="336" t="s">
        <v>2</v>
      </c>
      <c r="B16" s="415">
        <f>SUM(D9:F9)</f>
        <v>9347.7900000000009</v>
      </c>
    </row>
    <row r="17" spans="1:6" x14ac:dyDescent="0.25">
      <c r="A17" s="336" t="s">
        <v>3</v>
      </c>
      <c r="B17" s="415">
        <f>SUM(D8:F8)</f>
        <v>2524.75</v>
      </c>
    </row>
    <row r="18" spans="1:6" ht="15.75" thickBot="1" x14ac:dyDescent="0.3">
      <c r="A18" s="361"/>
      <c r="B18" s="416">
        <f>SUM(B14:B17)</f>
        <v>1707169.0899999999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23"/>
  <sheetViews>
    <sheetView zoomScale="130" zoomScaleNormal="130" workbookViewId="0">
      <selection activeCell="D22" sqref="D22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400</v>
      </c>
      <c r="B8" s="340" t="s">
        <v>38</v>
      </c>
      <c r="C8" s="340" t="s">
        <v>3</v>
      </c>
      <c r="D8" s="342">
        <v>0</v>
      </c>
      <c r="E8" s="342">
        <v>895.44</v>
      </c>
      <c r="F8" s="342">
        <v>8130.02</v>
      </c>
    </row>
    <row r="9" spans="1:7" x14ac:dyDescent="0.25">
      <c r="A9" s="340" t="s">
        <v>400</v>
      </c>
      <c r="B9" s="340" t="s">
        <v>38</v>
      </c>
      <c r="C9" s="340" t="s">
        <v>323</v>
      </c>
      <c r="D9" s="342">
        <v>7176.06</v>
      </c>
      <c r="E9" s="342">
        <v>0</v>
      </c>
      <c r="F9" s="342">
        <v>3.93</v>
      </c>
    </row>
    <row r="10" spans="1:7" x14ac:dyDescent="0.25">
      <c r="A10" s="340" t="s">
        <v>400</v>
      </c>
      <c r="B10" s="340" t="s">
        <v>38</v>
      </c>
      <c r="C10" s="340" t="s">
        <v>41</v>
      </c>
      <c r="D10" s="342">
        <v>137628.23000000001</v>
      </c>
      <c r="E10" s="342">
        <v>24162.39</v>
      </c>
      <c r="F10" s="342">
        <v>864844.03</v>
      </c>
    </row>
    <row r="11" spans="1:7" x14ac:dyDescent="0.25">
      <c r="A11" s="340" t="s">
        <v>400</v>
      </c>
      <c r="B11" s="340" t="s">
        <v>39</v>
      </c>
      <c r="C11" s="340" t="s">
        <v>41</v>
      </c>
      <c r="D11" s="342">
        <v>25387.5</v>
      </c>
      <c r="E11" s="342">
        <v>7990.89</v>
      </c>
      <c r="F11" s="342">
        <v>68890.649999999994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1026634.65</v>
      </c>
      <c r="E14" s="390"/>
      <c r="F14" s="417"/>
    </row>
    <row r="15" spans="1:7" x14ac:dyDescent="0.25">
      <c r="A15" s="336" t="s">
        <v>39</v>
      </c>
      <c r="B15" s="415">
        <f>SUM(D11:F11)</f>
        <v>102269.04</v>
      </c>
    </row>
    <row r="16" spans="1:7" x14ac:dyDescent="0.25">
      <c r="A16" s="336" t="s">
        <v>2</v>
      </c>
      <c r="B16" s="415">
        <f>SUM(D9:F9)</f>
        <v>7179.9900000000007</v>
      </c>
    </row>
    <row r="17" spans="1:6" x14ac:dyDescent="0.25">
      <c r="A17" s="336" t="s">
        <v>3</v>
      </c>
      <c r="B17" s="415">
        <f>SUM(D8:F8)</f>
        <v>9025.4600000000009</v>
      </c>
    </row>
    <row r="18" spans="1:6" ht="15.75" thickBot="1" x14ac:dyDescent="0.3">
      <c r="A18" s="361"/>
      <c r="B18" s="416">
        <f>SUM(B14:B17)</f>
        <v>1145109.1399999999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23"/>
  <sheetViews>
    <sheetView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400</v>
      </c>
      <c r="B8" s="340" t="s">
        <v>38</v>
      </c>
      <c r="C8" s="340" t="s">
        <v>3</v>
      </c>
      <c r="D8" s="342">
        <v>1091.07</v>
      </c>
      <c r="E8" s="342">
        <v>0</v>
      </c>
      <c r="F8" s="342">
        <v>8170.57</v>
      </c>
    </row>
    <row r="9" spans="1:7" x14ac:dyDescent="0.25">
      <c r="A9" s="340" t="s">
        <v>400</v>
      </c>
      <c r="B9" s="340" t="s">
        <v>38</v>
      </c>
      <c r="C9" s="340" t="s">
        <v>323</v>
      </c>
      <c r="D9" s="342">
        <v>282.95</v>
      </c>
      <c r="E9" s="342">
        <v>0</v>
      </c>
      <c r="F9" s="342">
        <v>3870.88</v>
      </c>
    </row>
    <row r="10" spans="1:7" x14ac:dyDescent="0.25">
      <c r="A10" s="340" t="s">
        <v>400</v>
      </c>
      <c r="B10" s="340" t="s">
        <v>38</v>
      </c>
      <c r="C10" s="340" t="s">
        <v>41</v>
      </c>
      <c r="D10" s="342">
        <v>30830.67</v>
      </c>
      <c r="E10" s="342">
        <v>44909.84</v>
      </c>
      <c r="F10" s="342">
        <v>878073.14</v>
      </c>
    </row>
    <row r="11" spans="1:7" x14ac:dyDescent="0.25">
      <c r="A11" s="340" t="s">
        <v>400</v>
      </c>
      <c r="B11" s="340" t="s">
        <v>39</v>
      </c>
      <c r="C11" s="340" t="s">
        <v>41</v>
      </c>
      <c r="D11" s="342">
        <v>8588.7000000000007</v>
      </c>
      <c r="E11" s="342">
        <v>13757.67</v>
      </c>
      <c r="F11" s="342">
        <v>65476.58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953813.65</v>
      </c>
      <c r="E14" s="390"/>
      <c r="F14" s="417"/>
    </row>
    <row r="15" spans="1:7" x14ac:dyDescent="0.25">
      <c r="A15" s="336" t="s">
        <v>39</v>
      </c>
      <c r="B15" s="415">
        <f>SUM(D11:F11)</f>
        <v>87822.950000000012</v>
      </c>
    </row>
    <row r="16" spans="1:7" x14ac:dyDescent="0.25">
      <c r="A16" s="336" t="s">
        <v>2</v>
      </c>
      <c r="B16" s="415">
        <f>SUM(D9:F9)</f>
        <v>4153.83</v>
      </c>
    </row>
    <row r="17" spans="1:6" x14ac:dyDescent="0.25">
      <c r="A17" s="336" t="s">
        <v>3</v>
      </c>
      <c r="B17" s="415">
        <f>SUM(D8:F8)</f>
        <v>9261.64</v>
      </c>
    </row>
    <row r="18" spans="1:6" ht="15.75" thickBot="1" x14ac:dyDescent="0.3">
      <c r="A18" s="361"/>
      <c r="B18" s="416">
        <f>SUM(B14:B17)</f>
        <v>1055052.07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23"/>
  <sheetViews>
    <sheetView zoomScale="130" zoomScaleNormal="130" workbookViewId="0">
      <selection activeCell="G19" sqref="G19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400</v>
      </c>
      <c r="B8" s="340" t="s">
        <v>38</v>
      </c>
      <c r="C8" s="340" t="s">
        <v>3</v>
      </c>
      <c r="D8" s="342">
        <v>0</v>
      </c>
      <c r="E8" s="342">
        <v>0</v>
      </c>
      <c r="F8" s="342">
        <v>8157.54</v>
      </c>
    </row>
    <row r="9" spans="1:7" x14ac:dyDescent="0.25">
      <c r="A9" s="340" t="s">
        <v>400</v>
      </c>
      <c r="B9" s="340" t="s">
        <v>38</v>
      </c>
      <c r="C9" s="340" t="s">
        <v>323</v>
      </c>
      <c r="D9" s="342">
        <v>1457.21</v>
      </c>
      <c r="E9" s="342">
        <v>3865.95</v>
      </c>
      <c r="F9" s="342">
        <v>2215.09</v>
      </c>
    </row>
    <row r="10" spans="1:7" x14ac:dyDescent="0.25">
      <c r="A10" s="340" t="s">
        <v>400</v>
      </c>
      <c r="B10" s="340" t="s">
        <v>38</v>
      </c>
      <c r="C10" s="340" t="s">
        <v>41</v>
      </c>
      <c r="D10" s="342">
        <v>63936.35</v>
      </c>
      <c r="E10" s="342">
        <v>83015.360000000001</v>
      </c>
      <c r="F10" s="342">
        <v>884659.38</v>
      </c>
    </row>
    <row r="11" spans="1:7" x14ac:dyDescent="0.25">
      <c r="A11" s="340" t="s">
        <v>400</v>
      </c>
      <c r="B11" s="340" t="s">
        <v>39</v>
      </c>
      <c r="C11" s="340" t="s">
        <v>41</v>
      </c>
      <c r="D11" s="342">
        <v>19016.73</v>
      </c>
      <c r="E11" s="342">
        <v>19035.080000000002</v>
      </c>
      <c r="F11" s="342">
        <v>67906.289999999994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1031611.09</v>
      </c>
      <c r="E14" s="390"/>
      <c r="F14" s="417"/>
    </row>
    <row r="15" spans="1:7" x14ac:dyDescent="0.25">
      <c r="A15" s="336" t="s">
        <v>39</v>
      </c>
      <c r="B15" s="415">
        <f>SUM(D11:F11)</f>
        <v>105958.09999999999</v>
      </c>
    </row>
    <row r="16" spans="1:7" x14ac:dyDescent="0.25">
      <c r="A16" s="336" t="s">
        <v>2</v>
      </c>
      <c r="B16" s="415">
        <f>SUM(D9:F9)</f>
        <v>7538.25</v>
      </c>
    </row>
    <row r="17" spans="1:6" x14ac:dyDescent="0.25">
      <c r="A17" s="336" t="s">
        <v>3</v>
      </c>
      <c r="B17" s="415">
        <f>SUM(D8:F8)</f>
        <v>8157.54</v>
      </c>
    </row>
    <row r="18" spans="1:6" ht="15.75" thickBot="1" x14ac:dyDescent="0.3">
      <c r="A18" s="361"/>
      <c r="B18" s="416">
        <f>SUM(B14:B17)</f>
        <v>1153264.98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23"/>
  <sheetViews>
    <sheetView zoomScale="130" zoomScaleNormal="130" workbookViewId="0">
      <selection activeCell="D20" sqref="D2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400</v>
      </c>
      <c r="B8" s="340" t="s">
        <v>38</v>
      </c>
      <c r="C8" s="340" t="s">
        <v>3</v>
      </c>
      <c r="D8" s="342">
        <v>0</v>
      </c>
      <c r="E8" s="342">
        <v>837.06</v>
      </c>
      <c r="F8" s="342">
        <v>7363.13</v>
      </c>
    </row>
    <row r="9" spans="1:7" x14ac:dyDescent="0.25">
      <c r="A9" s="340" t="s">
        <v>400</v>
      </c>
      <c r="B9" s="340" t="s">
        <v>38</v>
      </c>
      <c r="C9" s="340" t="s">
        <v>323</v>
      </c>
      <c r="D9" s="342">
        <v>3877.95</v>
      </c>
      <c r="E9" s="342">
        <v>1972.93</v>
      </c>
      <c r="F9" s="342">
        <v>242.16</v>
      </c>
    </row>
    <row r="10" spans="1:7" x14ac:dyDescent="0.25">
      <c r="A10" s="340" t="s">
        <v>400</v>
      </c>
      <c r="B10" s="340" t="s">
        <v>38</v>
      </c>
      <c r="C10" s="340" t="s">
        <v>41</v>
      </c>
      <c r="D10" s="342">
        <v>121971.79</v>
      </c>
      <c r="E10" s="342">
        <v>30948.799999999999</v>
      </c>
      <c r="F10" s="342">
        <v>903667.07</v>
      </c>
    </row>
    <row r="11" spans="1:7" x14ac:dyDescent="0.25">
      <c r="A11" s="340" t="s">
        <v>400</v>
      </c>
      <c r="B11" s="340" t="s">
        <v>39</v>
      </c>
      <c r="C11" s="340" t="s">
        <v>41</v>
      </c>
      <c r="D11" s="342">
        <v>25744.97</v>
      </c>
      <c r="E11" s="342">
        <v>6462.39</v>
      </c>
      <c r="F11" s="342">
        <v>71879.34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1056587.6599999999</v>
      </c>
      <c r="E14" s="390"/>
      <c r="F14" s="417"/>
    </row>
    <row r="15" spans="1:7" x14ac:dyDescent="0.25">
      <c r="A15" s="336" t="s">
        <v>39</v>
      </c>
      <c r="B15" s="415">
        <f>SUM(D11:F11)</f>
        <v>104086.7</v>
      </c>
    </row>
    <row r="16" spans="1:7" x14ac:dyDescent="0.25">
      <c r="A16" s="336" t="s">
        <v>2</v>
      </c>
      <c r="B16" s="415">
        <f>SUM(D9:F9)</f>
        <v>6093.04</v>
      </c>
    </row>
    <row r="17" spans="1:6" x14ac:dyDescent="0.25">
      <c r="A17" s="336" t="s">
        <v>3</v>
      </c>
      <c r="B17" s="415">
        <f>SUM(D8:F8)</f>
        <v>8200.19</v>
      </c>
    </row>
    <row r="18" spans="1:6" ht="15.75" thickBot="1" x14ac:dyDescent="0.3">
      <c r="A18" s="361"/>
      <c r="B18" s="416">
        <f>SUM(B14:B17)</f>
        <v>1174967.5899999999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23"/>
  <sheetViews>
    <sheetView zoomScale="130" zoomScaleNormal="130" workbookViewId="0">
      <selection activeCell="D8" sqref="D8:D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400</v>
      </c>
      <c r="B8" s="340" t="s">
        <v>38</v>
      </c>
      <c r="C8" s="340" t="s">
        <v>3</v>
      </c>
      <c r="D8" s="342">
        <v>870.09</v>
      </c>
      <c r="E8" s="342">
        <v>0</v>
      </c>
      <c r="F8" s="342">
        <v>7383.34</v>
      </c>
    </row>
    <row r="9" spans="1:7" x14ac:dyDescent="0.25">
      <c r="A9" s="340" t="s">
        <v>400</v>
      </c>
      <c r="B9" s="340" t="s">
        <v>38</v>
      </c>
      <c r="C9" s="340" t="s">
        <v>323</v>
      </c>
      <c r="D9" s="342">
        <v>1972.93</v>
      </c>
      <c r="E9" s="342">
        <v>0</v>
      </c>
      <c r="F9" s="342">
        <v>4445.22</v>
      </c>
    </row>
    <row r="10" spans="1:7" x14ac:dyDescent="0.25">
      <c r="A10" s="340" t="s">
        <v>400</v>
      </c>
      <c r="B10" s="340" t="s">
        <v>38</v>
      </c>
      <c r="C10" s="340" t="s">
        <v>41</v>
      </c>
      <c r="D10" s="342">
        <v>49704.02</v>
      </c>
      <c r="E10" s="342">
        <v>39521.64</v>
      </c>
      <c r="F10" s="342">
        <v>903108.35</v>
      </c>
    </row>
    <row r="11" spans="1:7" x14ac:dyDescent="0.25">
      <c r="A11" s="340" t="s">
        <v>400</v>
      </c>
      <c r="B11" s="340" t="s">
        <v>39</v>
      </c>
      <c r="C11" s="340" t="s">
        <v>41</v>
      </c>
      <c r="D11" s="342">
        <v>11122.89</v>
      </c>
      <c r="E11" s="342">
        <v>17036.830000000002</v>
      </c>
      <c r="F11" s="342">
        <v>70992.44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992334.01</v>
      </c>
      <c r="E14" s="390"/>
      <c r="F14" s="417"/>
    </row>
    <row r="15" spans="1:7" x14ac:dyDescent="0.25">
      <c r="A15" s="336" t="s">
        <v>39</v>
      </c>
      <c r="B15" s="415">
        <f>SUM(D11:F11)</f>
        <v>99152.16</v>
      </c>
    </row>
    <row r="16" spans="1:7" x14ac:dyDescent="0.25">
      <c r="A16" s="336" t="s">
        <v>2</v>
      </c>
      <c r="B16" s="415">
        <f>SUM(D9:F9)</f>
        <v>6418.1500000000005</v>
      </c>
    </row>
    <row r="17" spans="1:6" x14ac:dyDescent="0.25">
      <c r="A17" s="336" t="s">
        <v>3</v>
      </c>
      <c r="B17" s="415">
        <f>SUM(D8:F8)</f>
        <v>8253.43</v>
      </c>
    </row>
    <row r="18" spans="1:6" ht="15.75" thickBot="1" x14ac:dyDescent="0.3">
      <c r="A18" s="361"/>
      <c r="B18" s="416">
        <f>SUM(B14:B17)</f>
        <v>1106157.7499999998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23"/>
  <sheetViews>
    <sheetView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400</v>
      </c>
      <c r="B8" s="340" t="s">
        <v>38</v>
      </c>
      <c r="C8" s="340" t="s">
        <v>3</v>
      </c>
      <c r="D8" s="342">
        <v>0</v>
      </c>
      <c r="E8" s="342">
        <v>0</v>
      </c>
      <c r="F8" s="342">
        <v>7112.27</v>
      </c>
    </row>
    <row r="9" spans="1:7" x14ac:dyDescent="0.25">
      <c r="A9" s="340" t="s">
        <v>400</v>
      </c>
      <c r="B9" s="340" t="s">
        <v>38</v>
      </c>
      <c r="C9" s="340" t="s">
        <v>323</v>
      </c>
      <c r="D9" s="342">
        <v>0</v>
      </c>
      <c r="E9" s="342">
        <v>24.89</v>
      </c>
      <c r="F9" s="342">
        <v>4445.22</v>
      </c>
    </row>
    <row r="10" spans="1:7" x14ac:dyDescent="0.25">
      <c r="A10" s="340" t="s">
        <v>400</v>
      </c>
      <c r="B10" s="340" t="s">
        <v>38</v>
      </c>
      <c r="C10" s="340" t="s">
        <v>41</v>
      </c>
      <c r="D10" s="342">
        <v>58228.09</v>
      </c>
      <c r="E10" s="342">
        <v>79463.03</v>
      </c>
      <c r="F10" s="342">
        <v>897825.24</v>
      </c>
    </row>
    <row r="11" spans="1:7" x14ac:dyDescent="0.25">
      <c r="A11" s="340" t="s">
        <v>400</v>
      </c>
      <c r="B11" s="340" t="s">
        <v>39</v>
      </c>
      <c r="C11" s="340" t="s">
        <v>41</v>
      </c>
      <c r="D11" s="342">
        <v>20334.939999999999</v>
      </c>
      <c r="E11" s="342">
        <v>20845.009999999998</v>
      </c>
      <c r="F11" s="342">
        <v>80379.86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1035516.36</v>
      </c>
      <c r="E14" s="390"/>
      <c r="F14" s="417"/>
    </row>
    <row r="15" spans="1:7" x14ac:dyDescent="0.25">
      <c r="A15" s="336" t="s">
        <v>39</v>
      </c>
      <c r="B15" s="415">
        <f>SUM(D11:F11)</f>
        <v>121559.81</v>
      </c>
    </row>
    <row r="16" spans="1:7" x14ac:dyDescent="0.25">
      <c r="A16" s="336" t="s">
        <v>2</v>
      </c>
      <c r="B16" s="415">
        <f>SUM(D9:F9)</f>
        <v>4470.1100000000006</v>
      </c>
    </row>
    <row r="17" spans="1:6" x14ac:dyDescent="0.25">
      <c r="A17" s="336" t="s">
        <v>3</v>
      </c>
      <c r="B17" s="415">
        <f>SUM(D8:F8)</f>
        <v>7112.27</v>
      </c>
    </row>
    <row r="18" spans="1:6" ht="15.75" thickBot="1" x14ac:dyDescent="0.3">
      <c r="A18" s="361"/>
      <c r="B18" s="416">
        <f>SUM(B14:B17)</f>
        <v>1168658.55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23"/>
  <sheetViews>
    <sheetView zoomScale="130" zoomScaleNormal="130" workbookViewId="0">
      <selection activeCell="B14" sqref="B14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400</v>
      </c>
      <c r="B8" s="340" t="s">
        <v>38</v>
      </c>
      <c r="C8" s="340" t="s">
        <v>3</v>
      </c>
      <c r="D8" s="342">
        <v>0</v>
      </c>
      <c r="E8" s="342">
        <v>780.81</v>
      </c>
      <c r="F8" s="342">
        <v>6331.46</v>
      </c>
    </row>
    <row r="9" spans="1:7" x14ac:dyDescent="0.25">
      <c r="A9" s="340" t="s">
        <v>400</v>
      </c>
      <c r="B9" s="340" t="s">
        <v>38</v>
      </c>
      <c r="C9" s="340" t="s">
        <v>323</v>
      </c>
      <c r="D9" s="342">
        <v>40.86</v>
      </c>
      <c r="E9" s="342">
        <v>4203.0600000000004</v>
      </c>
      <c r="F9" s="342">
        <v>261.08999999999997</v>
      </c>
    </row>
    <row r="10" spans="1:7" x14ac:dyDescent="0.25">
      <c r="A10" s="340" t="s">
        <v>400</v>
      </c>
      <c r="B10" s="340" t="s">
        <v>38</v>
      </c>
      <c r="C10" s="340" t="s">
        <v>41</v>
      </c>
      <c r="D10" s="342">
        <v>108718.68</v>
      </c>
      <c r="E10" s="342">
        <v>37145.24</v>
      </c>
      <c r="F10" s="342">
        <v>903434.26</v>
      </c>
    </row>
    <row r="11" spans="1:7" x14ac:dyDescent="0.25">
      <c r="A11" s="340" t="s">
        <v>400</v>
      </c>
      <c r="B11" s="340" t="s">
        <v>39</v>
      </c>
      <c r="C11" s="340" t="s">
        <v>41</v>
      </c>
      <c r="D11" s="342">
        <v>21479.97</v>
      </c>
      <c r="E11" s="342">
        <v>9687.2099999999991</v>
      </c>
      <c r="F11" s="342">
        <v>75775.69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1049298.18</v>
      </c>
      <c r="E14" s="390"/>
      <c r="F14" s="417"/>
    </row>
    <row r="15" spans="1:7" x14ac:dyDescent="0.25">
      <c r="A15" s="336" t="s">
        <v>39</v>
      </c>
      <c r="B15" s="415">
        <f>SUM(D11:F11)</f>
        <v>106942.87</v>
      </c>
    </row>
    <row r="16" spans="1:7" x14ac:dyDescent="0.25">
      <c r="A16" s="336" t="s">
        <v>2</v>
      </c>
      <c r="B16" s="415">
        <f>SUM(D9:F9)</f>
        <v>4505.01</v>
      </c>
    </row>
    <row r="17" spans="1:6" x14ac:dyDescent="0.25">
      <c r="A17" s="336" t="s">
        <v>3</v>
      </c>
      <c r="B17" s="415">
        <f>SUM(D8:F8)</f>
        <v>7112.27</v>
      </c>
    </row>
    <row r="18" spans="1:6" ht="15.75" thickBot="1" x14ac:dyDescent="0.3">
      <c r="A18" s="361"/>
      <c r="B18" s="416">
        <f>SUM(B14:B17)</f>
        <v>1167858.3299999998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23"/>
  <sheetViews>
    <sheetView zoomScale="130" zoomScaleNormal="130" workbookViewId="0">
      <selection activeCell="F10" sqref="F1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400</v>
      </c>
      <c r="B8" s="340" t="s">
        <v>38</v>
      </c>
      <c r="C8" s="340" t="s">
        <v>3</v>
      </c>
      <c r="D8" s="342">
        <v>920.28</v>
      </c>
      <c r="E8" s="342">
        <v>0</v>
      </c>
      <c r="F8" s="342">
        <v>6709.09</v>
      </c>
    </row>
    <row r="9" spans="1:7" x14ac:dyDescent="0.25">
      <c r="A9" s="340" t="s">
        <v>400</v>
      </c>
      <c r="B9" s="340" t="s">
        <v>38</v>
      </c>
      <c r="C9" s="340" t="s">
        <v>323</v>
      </c>
      <c r="D9" s="342">
        <v>4203.0600000000004</v>
      </c>
      <c r="E9" s="342">
        <v>8216.2199999999993</v>
      </c>
      <c r="F9" s="342">
        <f>672742.42-660742.42</f>
        <v>12000</v>
      </c>
    </row>
    <row r="10" spans="1:7" x14ac:dyDescent="0.25">
      <c r="A10" s="340" t="s">
        <v>400</v>
      </c>
      <c r="B10" s="340" t="s">
        <v>38</v>
      </c>
      <c r="C10" s="340" t="s">
        <v>41</v>
      </c>
      <c r="D10" s="342">
        <v>50080.56</v>
      </c>
      <c r="E10" s="342">
        <v>50626.65</v>
      </c>
      <c r="F10" s="342">
        <v>916626.69</v>
      </c>
    </row>
    <row r="11" spans="1:7" x14ac:dyDescent="0.25">
      <c r="A11" s="340" t="s">
        <v>400</v>
      </c>
      <c r="B11" s="340" t="s">
        <v>39</v>
      </c>
      <c r="C11" s="340" t="s">
        <v>41</v>
      </c>
      <c r="D11" s="342">
        <v>12673.47</v>
      </c>
      <c r="E11" s="342">
        <v>11055.39</v>
      </c>
      <c r="F11" s="342">
        <v>90302.86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1017333.8999999999</v>
      </c>
      <c r="E14" s="390"/>
      <c r="F14" s="417"/>
    </row>
    <row r="15" spans="1:7" x14ac:dyDescent="0.25">
      <c r="A15" s="336" t="s">
        <v>39</v>
      </c>
      <c r="B15" s="415">
        <f>SUM(D11:F11)</f>
        <v>114031.72</v>
      </c>
    </row>
    <row r="16" spans="1:7" x14ac:dyDescent="0.25">
      <c r="A16" s="336" t="s">
        <v>2</v>
      </c>
      <c r="B16" s="415">
        <f>SUM(D9:F9)</f>
        <v>24419.279999999999</v>
      </c>
    </row>
    <row r="17" spans="1:6" x14ac:dyDescent="0.25">
      <c r="A17" s="336" t="s">
        <v>3</v>
      </c>
      <c r="B17" s="415">
        <f>SUM(D8:F8)</f>
        <v>7629.37</v>
      </c>
    </row>
    <row r="18" spans="1:6" ht="15.75" thickBot="1" x14ac:dyDescent="0.3">
      <c r="A18" s="361"/>
      <c r="B18" s="416">
        <f>SUM(B14:B17)</f>
        <v>1163414.27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23"/>
  <sheetViews>
    <sheetView zoomScale="130" zoomScaleNormal="130" workbookViewId="0">
      <selection activeCell="D9" sqref="D9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400</v>
      </c>
      <c r="B8" s="340" t="s">
        <v>38</v>
      </c>
      <c r="C8" s="340" t="s">
        <v>3</v>
      </c>
      <c r="D8" s="342">
        <v>0</v>
      </c>
      <c r="E8" s="342">
        <v>0</v>
      </c>
      <c r="F8" s="342">
        <v>6741.36</v>
      </c>
    </row>
    <row r="9" spans="1:7" x14ac:dyDescent="0.25">
      <c r="A9" s="340" t="s">
        <v>400</v>
      </c>
      <c r="B9" s="340" t="s">
        <v>38</v>
      </c>
      <c r="C9" s="340" t="s">
        <v>323</v>
      </c>
      <c r="D9" s="342">
        <f>705033.93-679800</f>
        <v>25233.930000000051</v>
      </c>
      <c r="E9" s="342">
        <v>16055.2</v>
      </c>
      <c r="F9" s="342">
        <f>660742.42-660742.42</f>
        <v>0</v>
      </c>
    </row>
    <row r="10" spans="1:7" x14ac:dyDescent="0.25">
      <c r="A10" s="340" t="s">
        <v>400</v>
      </c>
      <c r="B10" s="340" t="s">
        <v>38</v>
      </c>
      <c r="C10" s="340" t="s">
        <v>41</v>
      </c>
      <c r="D10" s="342">
        <v>65887.11</v>
      </c>
      <c r="E10" s="342">
        <v>108762.73</v>
      </c>
      <c r="F10" s="342">
        <v>864640.87</v>
      </c>
    </row>
    <row r="11" spans="1:7" x14ac:dyDescent="0.25">
      <c r="A11" s="340" t="s">
        <v>400</v>
      </c>
      <c r="B11" s="340" t="s">
        <v>39</v>
      </c>
      <c r="C11" s="340" t="s">
        <v>41</v>
      </c>
      <c r="D11" s="342">
        <v>14841.59</v>
      </c>
      <c r="E11" s="342">
        <v>25548.6</v>
      </c>
      <c r="F11" s="342">
        <v>83755.179999999993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1039290.71</v>
      </c>
      <c r="E14" s="390"/>
      <c r="F14" s="417"/>
    </row>
    <row r="15" spans="1:7" x14ac:dyDescent="0.25">
      <c r="A15" s="336" t="s">
        <v>39</v>
      </c>
      <c r="B15" s="415">
        <f>SUM(D11:F11)</f>
        <v>124145.37</v>
      </c>
    </row>
    <row r="16" spans="1:7" x14ac:dyDescent="0.25">
      <c r="A16" s="336" t="s">
        <v>2</v>
      </c>
      <c r="B16" s="415">
        <f>SUM(D9:F9)</f>
        <v>41289.130000000048</v>
      </c>
    </row>
    <row r="17" spans="1:6" x14ac:dyDescent="0.25">
      <c r="A17" s="336" t="s">
        <v>3</v>
      </c>
      <c r="B17" s="415">
        <f>SUM(D8:F8)</f>
        <v>6741.36</v>
      </c>
    </row>
    <row r="18" spans="1:6" ht="15.75" thickBot="1" x14ac:dyDescent="0.3">
      <c r="A18" s="361"/>
      <c r="B18" s="416">
        <f>SUM(B14:B17)</f>
        <v>1211466.5700000003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23"/>
  <sheetViews>
    <sheetView zoomScale="130" zoomScaleNormal="130" workbookViewId="0">
      <selection activeCell="E9" sqref="E9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400</v>
      </c>
      <c r="B8" s="340" t="s">
        <v>38</v>
      </c>
      <c r="C8" s="340" t="s">
        <v>3</v>
      </c>
      <c r="D8" s="342">
        <v>0</v>
      </c>
      <c r="E8" s="342">
        <v>881.64</v>
      </c>
      <c r="F8" s="342">
        <v>5967.22</v>
      </c>
    </row>
    <row r="9" spans="1:7" x14ac:dyDescent="0.25">
      <c r="A9" s="340" t="s">
        <v>400</v>
      </c>
      <c r="B9" s="340" t="s">
        <v>38</v>
      </c>
      <c r="C9" s="340" t="s">
        <v>323</v>
      </c>
      <c r="D9" s="342">
        <v>16073.83</v>
      </c>
      <c r="E9" s="342">
        <f>679580.65-660742.42</f>
        <v>18838.229999999981</v>
      </c>
      <c r="F9" s="342">
        <v>4.57</v>
      </c>
    </row>
    <row r="10" spans="1:7" x14ac:dyDescent="0.25">
      <c r="A10" s="340" t="s">
        <v>400</v>
      </c>
      <c r="B10" s="340" t="s">
        <v>38</v>
      </c>
      <c r="C10" s="340" t="s">
        <v>41</v>
      </c>
      <c r="D10" s="342">
        <v>127075.54</v>
      </c>
      <c r="E10" s="342">
        <v>39013.35</v>
      </c>
      <c r="F10" s="342">
        <v>859790.89</v>
      </c>
    </row>
    <row r="11" spans="1:7" x14ac:dyDescent="0.25">
      <c r="A11" s="340" t="s">
        <v>400</v>
      </c>
      <c r="B11" s="340" t="s">
        <v>39</v>
      </c>
      <c r="C11" s="340" t="s">
        <v>41</v>
      </c>
      <c r="D11" s="342">
        <v>30653.16</v>
      </c>
      <c r="E11" s="342">
        <v>15345.15</v>
      </c>
      <c r="F11" s="342">
        <v>83206.850000000006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1025879.78</v>
      </c>
      <c r="E14" s="390"/>
      <c r="F14" s="417"/>
    </row>
    <row r="15" spans="1:7" x14ac:dyDescent="0.25">
      <c r="A15" s="336" t="s">
        <v>39</v>
      </c>
      <c r="B15" s="415">
        <f>SUM(D11:F11)</f>
        <v>129205.16</v>
      </c>
    </row>
    <row r="16" spans="1:7" x14ac:dyDescent="0.25">
      <c r="A16" s="336" t="s">
        <v>2</v>
      </c>
      <c r="B16" s="415">
        <f>SUM(D9:F9)</f>
        <v>34916.629999999983</v>
      </c>
    </row>
    <row r="17" spans="1:6" x14ac:dyDescent="0.25">
      <c r="A17" s="336" t="s">
        <v>3</v>
      </c>
      <c r="B17" s="415">
        <f>SUM(D8:F8)</f>
        <v>6848.8600000000006</v>
      </c>
    </row>
    <row r="18" spans="1:6" ht="15.75" thickBot="1" x14ac:dyDescent="0.3">
      <c r="A18" s="361"/>
      <c r="B18" s="416">
        <f>SUM(B14:B17)</f>
        <v>1196850.43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EDD0A-E7CB-4FF7-BD73-6C0412424ABA}">
  <dimension ref="A1:G23"/>
  <sheetViews>
    <sheetView zoomScale="130" zoomScaleNormal="130" workbookViewId="0">
      <selection activeCell="J42" sqref="J42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439</v>
      </c>
      <c r="B8" s="340" t="s">
        <v>38</v>
      </c>
      <c r="C8" s="340" t="s">
        <v>3</v>
      </c>
      <c r="D8" s="342">
        <v>20</v>
      </c>
      <c r="E8" s="342">
        <v>0</v>
      </c>
      <c r="F8" s="342">
        <v>2504.75</v>
      </c>
    </row>
    <row r="9" spans="1:7" x14ac:dyDescent="0.25">
      <c r="A9" s="340" t="s">
        <v>439</v>
      </c>
      <c r="B9" s="340" t="s">
        <v>38</v>
      </c>
      <c r="C9" s="340" t="s">
        <v>323</v>
      </c>
      <c r="D9" s="342">
        <v>1535.6</v>
      </c>
      <c r="E9" s="342">
        <v>730.32</v>
      </c>
      <c r="F9" s="342">
        <v>5194.53</v>
      </c>
    </row>
    <row r="10" spans="1:7" x14ac:dyDescent="0.25">
      <c r="A10" s="340" t="s">
        <v>439</v>
      </c>
      <c r="B10" s="340" t="s">
        <v>38</v>
      </c>
      <c r="C10" s="340" t="s">
        <v>41</v>
      </c>
      <c r="D10" s="342">
        <v>83699.08</v>
      </c>
      <c r="E10" s="342">
        <v>85093.41</v>
      </c>
      <c r="F10" s="342">
        <v>1300980.33</v>
      </c>
    </row>
    <row r="11" spans="1:7" x14ac:dyDescent="0.25">
      <c r="A11" s="340" t="s">
        <v>439</v>
      </c>
      <c r="B11" s="340" t="s">
        <v>39</v>
      </c>
      <c r="C11" s="340" t="s">
        <v>41</v>
      </c>
      <c r="D11" s="342">
        <v>11717.27</v>
      </c>
      <c r="E11" s="342">
        <v>16151.84</v>
      </c>
      <c r="F11" s="342">
        <v>93982.03</v>
      </c>
    </row>
    <row r="13" spans="1:7" x14ac:dyDescent="0.25">
      <c r="A13" s="442" t="s">
        <v>79</v>
      </c>
      <c r="B13" s="443" t="s">
        <v>80</v>
      </c>
      <c r="E13" s="390"/>
    </row>
    <row r="14" spans="1:7" x14ac:dyDescent="0.25">
      <c r="A14" s="336" t="s">
        <v>38</v>
      </c>
      <c r="B14" s="415">
        <f>SUM(D10:F10)</f>
        <v>1469772.82</v>
      </c>
      <c r="E14" s="390"/>
      <c r="F14" s="417"/>
    </row>
    <row r="15" spans="1:7" x14ac:dyDescent="0.25">
      <c r="A15" s="336" t="s">
        <v>39</v>
      </c>
      <c r="B15" s="415">
        <f>SUM(D11:F11)</f>
        <v>121851.14</v>
      </c>
    </row>
    <row r="16" spans="1:7" x14ac:dyDescent="0.25">
      <c r="A16" s="336" t="s">
        <v>2</v>
      </c>
      <c r="B16" s="415">
        <f>SUM(D9:F9)</f>
        <v>7460.45</v>
      </c>
    </row>
    <row r="17" spans="1:6" x14ac:dyDescent="0.25">
      <c r="A17" s="336" t="s">
        <v>3</v>
      </c>
      <c r="B17" s="415">
        <f>SUM(D8:F8)</f>
        <v>2524.75</v>
      </c>
    </row>
    <row r="18" spans="1:6" ht="15.75" thickBot="1" x14ac:dyDescent="0.3">
      <c r="A18" s="361"/>
      <c r="B18" s="416">
        <f>SUM(B14:B17)</f>
        <v>1601609.16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23"/>
  <sheetViews>
    <sheetView zoomScale="130" zoomScaleNormal="130" workbookViewId="0">
      <selection activeCell="D9" sqref="D9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400</v>
      </c>
      <c r="B8" s="340" t="s">
        <v>38</v>
      </c>
      <c r="C8" s="340" t="s">
        <v>3</v>
      </c>
      <c r="D8" s="342">
        <v>1001.19</v>
      </c>
      <c r="E8" s="342">
        <v>0</v>
      </c>
      <c r="F8" s="342">
        <v>5967.22</v>
      </c>
    </row>
    <row r="9" spans="1:7" x14ac:dyDescent="0.25">
      <c r="A9" s="340" t="s">
        <v>400</v>
      </c>
      <c r="B9" s="340" t="s">
        <v>38</v>
      </c>
      <c r="C9" s="340" t="s">
        <v>323</v>
      </c>
      <c r="D9" s="342">
        <f>687430.35-660742.42</f>
        <v>26687.929999999935</v>
      </c>
      <c r="E9" s="342">
        <v>0</v>
      </c>
      <c r="F9" s="342">
        <v>0</v>
      </c>
    </row>
    <row r="10" spans="1:7" x14ac:dyDescent="0.25">
      <c r="A10" s="340" t="s">
        <v>400</v>
      </c>
      <c r="B10" s="340" t="s">
        <v>38</v>
      </c>
      <c r="C10" s="340" t="s">
        <v>41</v>
      </c>
      <c r="D10" s="342">
        <v>42547.08</v>
      </c>
      <c r="E10" s="342">
        <v>66659.5</v>
      </c>
      <c r="F10" s="342">
        <v>854097.58</v>
      </c>
    </row>
    <row r="11" spans="1:7" x14ac:dyDescent="0.25">
      <c r="A11" s="340" t="s">
        <v>400</v>
      </c>
      <c r="B11" s="340" t="s">
        <v>39</v>
      </c>
      <c r="C11" s="340" t="s">
        <v>41</v>
      </c>
      <c r="D11" s="342">
        <v>12377.15</v>
      </c>
      <c r="E11" s="342">
        <v>16484.650000000001</v>
      </c>
      <c r="F11" s="342">
        <v>92118.04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963304.15999999992</v>
      </c>
      <c r="E14" s="390"/>
      <c r="F14" s="417"/>
    </row>
    <row r="15" spans="1:7" x14ac:dyDescent="0.25">
      <c r="A15" s="336" t="s">
        <v>39</v>
      </c>
      <c r="B15" s="415">
        <f>SUM(D11:F11)</f>
        <v>120979.84</v>
      </c>
    </row>
    <row r="16" spans="1:7" x14ac:dyDescent="0.25">
      <c r="A16" s="336" t="s">
        <v>2</v>
      </c>
      <c r="B16" s="415">
        <f>SUM(D9:F9)</f>
        <v>26687.929999999935</v>
      </c>
    </row>
    <row r="17" spans="1:6" x14ac:dyDescent="0.25">
      <c r="A17" s="336" t="s">
        <v>3</v>
      </c>
      <c r="B17" s="415">
        <f>SUM(D8:F8)</f>
        <v>6968.41</v>
      </c>
    </row>
    <row r="18" spans="1:6" ht="15.75" thickBot="1" x14ac:dyDescent="0.3">
      <c r="A18" s="361"/>
      <c r="B18" s="416">
        <f>SUM(B14:B17)</f>
        <v>1117940.3399999999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23"/>
  <sheetViews>
    <sheetView zoomScale="130" zoomScaleNormal="130" workbookViewId="0">
      <selection activeCell="A7" sqref="A7:F11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397</v>
      </c>
      <c r="B8" s="340" t="s">
        <v>38</v>
      </c>
      <c r="C8" s="340" t="s">
        <v>3</v>
      </c>
      <c r="D8" s="342">
        <v>0</v>
      </c>
      <c r="E8" s="342">
        <v>0</v>
      </c>
      <c r="F8" s="342">
        <v>6078.43</v>
      </c>
    </row>
    <row r="9" spans="1:7" x14ac:dyDescent="0.25">
      <c r="A9" s="340" t="s">
        <v>397</v>
      </c>
      <c r="B9" s="340" t="s">
        <v>38</v>
      </c>
      <c r="C9" s="340" t="s">
        <v>323</v>
      </c>
      <c r="D9" s="342">
        <v>3675.7</v>
      </c>
      <c r="E9" s="342">
        <v>0</v>
      </c>
      <c r="F9" s="342">
        <v>0</v>
      </c>
    </row>
    <row r="10" spans="1:7" x14ac:dyDescent="0.25">
      <c r="A10" s="340" t="s">
        <v>397</v>
      </c>
      <c r="B10" s="340" t="s">
        <v>38</v>
      </c>
      <c r="C10" s="340" t="s">
        <v>41</v>
      </c>
      <c r="D10" s="342">
        <v>84644.42</v>
      </c>
      <c r="E10" s="342">
        <v>93074.32</v>
      </c>
      <c r="F10" s="342">
        <v>816240.1</v>
      </c>
    </row>
    <row r="11" spans="1:7" x14ac:dyDescent="0.25">
      <c r="A11" s="340" t="s">
        <v>397</v>
      </c>
      <c r="B11" s="340" t="s">
        <v>39</v>
      </c>
      <c r="C11" s="340" t="s">
        <v>41</v>
      </c>
      <c r="D11" s="342">
        <v>21751.52</v>
      </c>
      <c r="E11" s="342">
        <v>28325.75</v>
      </c>
      <c r="F11" s="342">
        <v>85025.39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993958.84</v>
      </c>
      <c r="E14" s="390"/>
      <c r="F14" s="417"/>
    </row>
    <row r="15" spans="1:7" x14ac:dyDescent="0.25">
      <c r="A15" s="336" t="s">
        <v>39</v>
      </c>
      <c r="B15" s="415">
        <f>SUM(D11:F11)</f>
        <v>135102.66</v>
      </c>
    </row>
    <row r="16" spans="1:7" x14ac:dyDescent="0.25">
      <c r="A16" s="336" t="s">
        <v>2</v>
      </c>
      <c r="B16" s="415">
        <f>SUM(D9:F9)</f>
        <v>3675.7</v>
      </c>
    </row>
    <row r="17" spans="1:6" x14ac:dyDescent="0.25">
      <c r="A17" s="336" t="s">
        <v>3</v>
      </c>
      <c r="B17" s="415">
        <f>SUM(D8:F8)</f>
        <v>6078.43</v>
      </c>
    </row>
    <row r="18" spans="1:6" ht="15.75" thickBot="1" x14ac:dyDescent="0.3">
      <c r="A18" s="361"/>
      <c r="B18" s="416">
        <f>SUM(B14:B17)</f>
        <v>1138815.6299999999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23"/>
  <sheetViews>
    <sheetView zoomScale="130" zoomScaleNormal="130" workbookViewId="0">
      <selection activeCell="A14" sqref="A14:IV14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397</v>
      </c>
      <c r="B8" s="340" t="s">
        <v>38</v>
      </c>
      <c r="C8" s="340" t="s">
        <v>3</v>
      </c>
      <c r="D8" s="342">
        <v>0</v>
      </c>
      <c r="E8" s="342">
        <v>901.7</v>
      </c>
      <c r="F8" s="342">
        <v>5280.09</v>
      </c>
    </row>
    <row r="9" spans="1:7" x14ac:dyDescent="0.25">
      <c r="A9" s="340" t="s">
        <v>397</v>
      </c>
      <c r="B9" s="340" t="s">
        <v>38</v>
      </c>
      <c r="C9" s="340" t="s">
        <v>323</v>
      </c>
      <c r="D9" s="342">
        <v>0</v>
      </c>
      <c r="E9" s="342">
        <v>0</v>
      </c>
      <c r="F9" s="342">
        <v>0</v>
      </c>
    </row>
    <row r="10" spans="1:7" x14ac:dyDescent="0.25">
      <c r="A10" s="340" t="s">
        <v>397</v>
      </c>
      <c r="B10" s="340" t="s">
        <v>38</v>
      </c>
      <c r="C10" s="340" t="s">
        <v>41</v>
      </c>
      <c r="D10" s="342">
        <v>118669.88</v>
      </c>
      <c r="E10" s="342">
        <v>35542.550000000003</v>
      </c>
      <c r="F10" s="342">
        <v>820401.49</v>
      </c>
    </row>
    <row r="11" spans="1:7" x14ac:dyDescent="0.25">
      <c r="A11" s="340" t="s">
        <v>397</v>
      </c>
      <c r="B11" s="340" t="s">
        <v>39</v>
      </c>
      <c r="C11" s="340" t="s">
        <v>41</v>
      </c>
      <c r="D11" s="342">
        <v>34850.85</v>
      </c>
      <c r="E11" s="342">
        <v>12262.38</v>
      </c>
      <c r="F11" s="342">
        <v>89166.04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974613.91999999993</v>
      </c>
      <c r="E14" s="390"/>
      <c r="F14" s="417"/>
    </row>
    <row r="15" spans="1:7" x14ac:dyDescent="0.25">
      <c r="A15" s="336" t="s">
        <v>39</v>
      </c>
      <c r="B15" s="415">
        <f>SUM(D11:F11)</f>
        <v>136279.26999999999</v>
      </c>
    </row>
    <row r="16" spans="1:7" x14ac:dyDescent="0.25">
      <c r="A16" s="336" t="s">
        <v>2</v>
      </c>
      <c r="B16" s="415">
        <f>SUM(D9:F9)</f>
        <v>0</v>
      </c>
    </row>
    <row r="17" spans="1:6" x14ac:dyDescent="0.25">
      <c r="A17" s="336" t="s">
        <v>3</v>
      </c>
      <c r="B17" s="415">
        <f>SUM(D8:F8)</f>
        <v>6181.79</v>
      </c>
    </row>
    <row r="18" spans="1:6" ht="15.75" thickBot="1" x14ac:dyDescent="0.3">
      <c r="A18" s="361"/>
      <c r="B18" s="416">
        <f>SUM(B14:B17)</f>
        <v>1117074.98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23"/>
  <sheetViews>
    <sheetView zoomScale="130" zoomScaleNormal="130" workbookViewId="0">
      <selection activeCell="F16" sqref="F16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397</v>
      </c>
      <c r="B8" s="340" t="s">
        <v>38</v>
      </c>
      <c r="C8" s="340" t="s">
        <v>3</v>
      </c>
      <c r="D8" s="342">
        <v>1337.94</v>
      </c>
      <c r="E8" s="342">
        <v>0</v>
      </c>
      <c r="F8" s="342">
        <v>9110.9500000000007</v>
      </c>
    </row>
    <row r="9" spans="1:7" x14ac:dyDescent="0.25">
      <c r="A9" s="340" t="s">
        <v>397</v>
      </c>
      <c r="B9" s="340" t="s">
        <v>38</v>
      </c>
      <c r="C9" s="340" t="s">
        <v>323</v>
      </c>
      <c r="D9" s="342">
        <v>490.51</v>
      </c>
      <c r="E9" s="342">
        <v>5.13</v>
      </c>
      <c r="F9" s="342">
        <v>1642.2</v>
      </c>
    </row>
    <row r="10" spans="1:7" x14ac:dyDescent="0.25">
      <c r="A10" s="340" t="s">
        <v>397</v>
      </c>
      <c r="B10" s="340" t="s">
        <v>38</v>
      </c>
      <c r="C10" s="340" t="s">
        <v>41</v>
      </c>
      <c r="D10" s="342">
        <v>42812.480000000003</v>
      </c>
      <c r="E10" s="342">
        <v>70220.800000000003</v>
      </c>
      <c r="F10" s="342">
        <v>811456.71</v>
      </c>
    </row>
    <row r="11" spans="1:7" x14ac:dyDescent="0.25">
      <c r="A11" s="340" t="s">
        <v>397</v>
      </c>
      <c r="B11" s="340" t="s">
        <v>39</v>
      </c>
      <c r="C11" s="340" t="s">
        <v>41</v>
      </c>
      <c r="D11" s="342">
        <v>9759.3700000000008</v>
      </c>
      <c r="E11" s="342">
        <v>14061.69</v>
      </c>
      <c r="F11" s="342">
        <v>91059.69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924489.99</v>
      </c>
      <c r="E14" s="390"/>
      <c r="F14" s="417"/>
    </row>
    <row r="15" spans="1:7" x14ac:dyDescent="0.25">
      <c r="A15" s="336" t="s">
        <v>39</v>
      </c>
      <c r="B15" s="415">
        <f>SUM(D11:F11)</f>
        <v>114880.75</v>
      </c>
    </row>
    <row r="16" spans="1:7" x14ac:dyDescent="0.25">
      <c r="A16" s="336" t="s">
        <v>2</v>
      </c>
      <c r="B16" s="415">
        <f>SUM(D9:F9)</f>
        <v>2137.84</v>
      </c>
    </row>
    <row r="17" spans="1:6" x14ac:dyDescent="0.25">
      <c r="A17" s="336" t="s">
        <v>3</v>
      </c>
      <c r="B17" s="415">
        <f>SUM(D8:F8)</f>
        <v>10448.890000000001</v>
      </c>
    </row>
    <row r="18" spans="1:6" ht="15.75" thickBot="1" x14ac:dyDescent="0.3">
      <c r="A18" s="361"/>
      <c r="B18" s="416">
        <f>SUM(B14:B17)</f>
        <v>1051957.47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23"/>
  <sheetViews>
    <sheetView zoomScale="130" zoomScaleNormal="130" workbookViewId="0">
      <selection activeCell="F17" sqref="F17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3" width="13.85546875" style="336" bestFit="1" customWidth="1"/>
    <col min="4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397</v>
      </c>
      <c r="B8" s="340" t="s">
        <v>38</v>
      </c>
      <c r="C8" s="340" t="s">
        <v>3</v>
      </c>
      <c r="D8" s="342">
        <v>0</v>
      </c>
      <c r="E8" s="342">
        <v>0</v>
      </c>
      <c r="F8" s="342">
        <v>9116.23</v>
      </c>
    </row>
    <row r="9" spans="1:7" x14ac:dyDescent="0.25">
      <c r="A9" s="340" t="s">
        <v>397</v>
      </c>
      <c r="B9" s="340" t="s">
        <v>38</v>
      </c>
      <c r="C9" s="340" t="s">
        <v>323</v>
      </c>
      <c r="D9" s="342">
        <v>5655.82</v>
      </c>
      <c r="E9" s="342">
        <v>99834.29</v>
      </c>
      <c r="F9" s="342">
        <v>724.71</v>
      </c>
    </row>
    <row r="10" spans="1:7" x14ac:dyDescent="0.25">
      <c r="A10" s="340" t="s">
        <v>397</v>
      </c>
      <c r="B10" s="340" t="s">
        <v>38</v>
      </c>
      <c r="C10" s="340" t="s">
        <v>41</v>
      </c>
      <c r="D10" s="342">
        <v>86727.9</v>
      </c>
      <c r="E10" s="342">
        <v>64499.62</v>
      </c>
      <c r="F10" s="342">
        <v>785497.36</v>
      </c>
    </row>
    <row r="11" spans="1:7" x14ac:dyDescent="0.25">
      <c r="A11" s="340" t="s">
        <v>397</v>
      </c>
      <c r="B11" s="340" t="s">
        <v>39</v>
      </c>
      <c r="C11" s="340" t="s">
        <v>41</v>
      </c>
      <c r="D11" s="342">
        <v>17978.759999999998</v>
      </c>
      <c r="E11" s="342">
        <v>28646.16</v>
      </c>
      <c r="F11" s="342">
        <v>78427.5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936724.88</v>
      </c>
      <c r="E14" s="390"/>
      <c r="F14" s="417"/>
    </row>
    <row r="15" spans="1:7" x14ac:dyDescent="0.25">
      <c r="A15" s="336" t="s">
        <v>39</v>
      </c>
      <c r="B15" s="415">
        <f>SUM(D11:F11)</f>
        <v>125052.42</v>
      </c>
    </row>
    <row r="16" spans="1:7" x14ac:dyDescent="0.25">
      <c r="A16" s="336" t="s">
        <v>2</v>
      </c>
      <c r="B16" s="415">
        <f>SUM(D9:F9)</f>
        <v>106214.81999999999</v>
      </c>
    </row>
    <row r="17" spans="1:6" x14ac:dyDescent="0.25">
      <c r="A17" s="336" t="s">
        <v>3</v>
      </c>
      <c r="B17" s="415">
        <f>SUM(D8:F8)</f>
        <v>9116.23</v>
      </c>
    </row>
    <row r="18" spans="1:6" ht="15.75" thickBot="1" x14ac:dyDescent="0.3">
      <c r="A18" s="361"/>
      <c r="B18" s="416">
        <f>SUM(B14:B17)</f>
        <v>1177108.3500000001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23"/>
  <sheetViews>
    <sheetView zoomScale="130" zoomScaleNormal="130" workbookViewId="0">
      <selection activeCell="G16" sqref="G16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397</v>
      </c>
      <c r="B8" s="340" t="s">
        <v>38</v>
      </c>
      <c r="C8" s="340" t="s">
        <v>3</v>
      </c>
      <c r="D8" s="342">
        <v>0</v>
      </c>
      <c r="E8" s="342">
        <v>1277.5899999999999</v>
      </c>
      <c r="F8" s="342">
        <v>7960.83</v>
      </c>
    </row>
    <row r="9" spans="1:7" x14ac:dyDescent="0.25">
      <c r="A9" s="340" t="s">
        <v>397</v>
      </c>
      <c r="B9" s="340" t="s">
        <v>38</v>
      </c>
      <c r="C9" s="340" t="s">
        <v>323</v>
      </c>
      <c r="D9" s="342">
        <v>99834.29</v>
      </c>
      <c r="E9" s="342">
        <v>1.6</v>
      </c>
      <c r="F9" s="342">
        <v>728.36</v>
      </c>
    </row>
    <row r="10" spans="1:7" x14ac:dyDescent="0.25">
      <c r="A10" s="340" t="s">
        <v>397</v>
      </c>
      <c r="B10" s="340" t="s">
        <v>38</v>
      </c>
      <c r="C10" s="340" t="s">
        <v>41</v>
      </c>
      <c r="D10" s="342">
        <v>97397.15</v>
      </c>
      <c r="E10" s="342">
        <v>20462.099999999999</v>
      </c>
      <c r="F10" s="342">
        <v>796608.28</v>
      </c>
    </row>
    <row r="11" spans="1:7" x14ac:dyDescent="0.25">
      <c r="A11" s="340" t="s">
        <v>397</v>
      </c>
      <c r="B11" s="340" t="s">
        <v>39</v>
      </c>
      <c r="C11" s="340" t="s">
        <v>41</v>
      </c>
      <c r="D11" s="342">
        <v>34579.360000000001</v>
      </c>
      <c r="E11" s="342">
        <v>8385.24</v>
      </c>
      <c r="F11" s="342">
        <v>80895.14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914467.53</v>
      </c>
      <c r="E14" s="390"/>
      <c r="F14" s="417"/>
    </row>
    <row r="15" spans="1:7" x14ac:dyDescent="0.25">
      <c r="A15" s="336" t="s">
        <v>39</v>
      </c>
      <c r="B15" s="415">
        <f>SUM(D11:F11)</f>
        <v>123859.73999999999</v>
      </c>
    </row>
    <row r="16" spans="1:7" x14ac:dyDescent="0.25">
      <c r="A16" s="336" t="s">
        <v>2</v>
      </c>
      <c r="B16" s="415">
        <f>SUM(D9:F9)</f>
        <v>100564.25</v>
      </c>
    </row>
    <row r="17" spans="1:6" x14ac:dyDescent="0.25">
      <c r="A17" s="336" t="s">
        <v>3</v>
      </c>
      <c r="B17" s="415">
        <f>SUM(D8:F8)</f>
        <v>9238.42</v>
      </c>
    </row>
    <row r="18" spans="1:6" ht="15.75" thickBot="1" x14ac:dyDescent="0.3">
      <c r="A18" s="361"/>
      <c r="B18" s="416">
        <f>SUM(B14:B17)</f>
        <v>1148129.94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23"/>
  <sheetViews>
    <sheetView zoomScale="130" zoomScaleNormal="130" workbookViewId="0">
      <selection activeCell="C17" sqref="C17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397</v>
      </c>
      <c r="B8" s="340" t="s">
        <v>38</v>
      </c>
      <c r="C8" s="340" t="s">
        <v>3</v>
      </c>
      <c r="D8" s="342">
        <v>1457.73</v>
      </c>
      <c r="E8" s="342">
        <v>0</v>
      </c>
      <c r="F8" s="342">
        <v>7960.83</v>
      </c>
    </row>
    <row r="9" spans="1:7" x14ac:dyDescent="0.25">
      <c r="A9" s="340" t="s">
        <v>397</v>
      </c>
      <c r="B9" s="340" t="s">
        <v>38</v>
      </c>
      <c r="C9" s="340" t="s">
        <v>323</v>
      </c>
      <c r="D9" s="342">
        <v>233.74</v>
      </c>
      <c r="E9" s="342">
        <v>1.7</v>
      </c>
      <c r="F9" s="342">
        <v>726.66</v>
      </c>
    </row>
    <row r="10" spans="1:7" x14ac:dyDescent="0.25">
      <c r="A10" s="340" t="s">
        <v>397</v>
      </c>
      <c r="B10" s="340" t="s">
        <v>38</v>
      </c>
      <c r="C10" s="340" t="s">
        <v>41</v>
      </c>
      <c r="D10" s="342">
        <v>40499.9</v>
      </c>
      <c r="E10" s="342">
        <v>62018.34</v>
      </c>
      <c r="F10" s="342">
        <v>781117.93</v>
      </c>
    </row>
    <row r="11" spans="1:7" x14ac:dyDescent="0.25">
      <c r="A11" s="340" t="s">
        <v>397</v>
      </c>
      <c r="B11" s="340" t="s">
        <v>39</v>
      </c>
      <c r="C11" s="340" t="s">
        <v>41</v>
      </c>
      <c r="D11" s="342">
        <v>12539.76</v>
      </c>
      <c r="E11" s="342">
        <v>12233.23</v>
      </c>
      <c r="F11" s="342">
        <v>79442.66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883636.17</v>
      </c>
      <c r="E14" s="390"/>
      <c r="F14" s="417"/>
    </row>
    <row r="15" spans="1:7" x14ac:dyDescent="0.25">
      <c r="A15" s="336" t="s">
        <v>39</v>
      </c>
      <c r="B15" s="415">
        <f>SUM(D11:F11)</f>
        <v>104215.65</v>
      </c>
    </row>
    <row r="16" spans="1:7" x14ac:dyDescent="0.25">
      <c r="A16" s="336" t="s">
        <v>2</v>
      </c>
      <c r="B16" s="415">
        <f>SUM(D9:F9)</f>
        <v>962.09999999999991</v>
      </c>
    </row>
    <row r="17" spans="1:6" x14ac:dyDescent="0.25">
      <c r="A17" s="336" t="s">
        <v>3</v>
      </c>
      <c r="B17" s="415">
        <f>SUM(D8:F8)</f>
        <v>9418.56</v>
      </c>
    </row>
    <row r="18" spans="1:6" ht="15.75" thickBot="1" x14ac:dyDescent="0.3">
      <c r="A18" s="361"/>
      <c r="B18" s="416">
        <f>SUM(B14:B17)</f>
        <v>998232.4800000001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23"/>
  <sheetViews>
    <sheetView zoomScale="130" zoomScaleNormal="130" workbookViewId="0">
      <selection activeCell="E20" sqref="E20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397</v>
      </c>
      <c r="B8" s="340" t="s">
        <v>38</v>
      </c>
      <c r="C8" s="340" t="s">
        <v>3</v>
      </c>
      <c r="D8" s="342">
        <v>0</v>
      </c>
      <c r="E8" s="342">
        <v>0</v>
      </c>
      <c r="F8" s="342">
        <v>8003.41</v>
      </c>
    </row>
    <row r="9" spans="1:7" x14ac:dyDescent="0.25">
      <c r="A9" s="340" t="s">
        <v>397</v>
      </c>
      <c r="B9" s="340" t="s">
        <v>38</v>
      </c>
      <c r="C9" s="340" t="s">
        <v>323</v>
      </c>
      <c r="D9" s="342">
        <v>8.32</v>
      </c>
      <c r="E9" s="342">
        <v>132.34</v>
      </c>
      <c r="F9" s="342">
        <v>2065.27</v>
      </c>
    </row>
    <row r="10" spans="1:7" x14ac:dyDescent="0.25">
      <c r="A10" s="340" t="s">
        <v>397</v>
      </c>
      <c r="B10" s="340" t="s">
        <v>38</v>
      </c>
      <c r="C10" s="340" t="s">
        <v>41</v>
      </c>
      <c r="D10" s="342">
        <v>79653.47</v>
      </c>
      <c r="E10" s="342">
        <v>66661.149999999994</v>
      </c>
      <c r="F10" s="342">
        <v>753184.06</v>
      </c>
    </row>
    <row r="11" spans="1:7" x14ac:dyDescent="0.25">
      <c r="A11" s="340" t="s">
        <v>397</v>
      </c>
      <c r="B11" s="340" t="s">
        <v>39</v>
      </c>
      <c r="C11" s="340" t="s">
        <v>41</v>
      </c>
      <c r="D11" s="342">
        <v>15314.64</v>
      </c>
      <c r="E11" s="342">
        <v>19562.77</v>
      </c>
      <c r="F11" s="342">
        <v>69965.570000000007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899498.68</v>
      </c>
      <c r="E14" s="390"/>
      <c r="F14" s="417"/>
    </row>
    <row r="15" spans="1:7" x14ac:dyDescent="0.25">
      <c r="A15" s="336" t="s">
        <v>39</v>
      </c>
      <c r="B15" s="415">
        <f>SUM(D11:F11)</f>
        <v>104842.98000000001</v>
      </c>
    </row>
    <row r="16" spans="1:7" x14ac:dyDescent="0.25">
      <c r="A16" s="336" t="s">
        <v>2</v>
      </c>
      <c r="B16" s="415">
        <f>SUM(D9:F9)</f>
        <v>2205.9299999999998</v>
      </c>
    </row>
    <row r="17" spans="1:6" x14ac:dyDescent="0.25">
      <c r="A17" s="336" t="s">
        <v>3</v>
      </c>
      <c r="B17" s="415">
        <f>SUM(D8:F8)</f>
        <v>8003.41</v>
      </c>
    </row>
    <row r="18" spans="1:6" ht="15.75" thickBot="1" x14ac:dyDescent="0.3">
      <c r="A18" s="361"/>
      <c r="B18" s="416">
        <f>SUM(B14:B17)</f>
        <v>1014551.0000000001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23"/>
  <sheetViews>
    <sheetView zoomScale="130" zoomScaleNormal="130" workbookViewId="0">
      <selection activeCell="G15" sqref="G15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397</v>
      </c>
      <c r="B8" s="340" t="s">
        <v>38</v>
      </c>
      <c r="C8" s="340" t="s">
        <v>3</v>
      </c>
      <c r="D8" s="342">
        <v>0</v>
      </c>
      <c r="E8" s="342">
        <v>1157.8599999999999</v>
      </c>
      <c r="F8" s="342">
        <v>6985.66</v>
      </c>
    </row>
    <row r="9" spans="1:7" x14ac:dyDescent="0.25">
      <c r="A9" s="340" t="s">
        <v>397</v>
      </c>
      <c r="B9" s="340" t="s">
        <v>38</v>
      </c>
      <c r="C9" s="340" t="s">
        <v>323</v>
      </c>
      <c r="D9" s="342">
        <v>132.29</v>
      </c>
      <c r="E9" s="342">
        <v>204.7</v>
      </c>
      <c r="F9" s="342">
        <v>2048.17</v>
      </c>
    </row>
    <row r="10" spans="1:7" x14ac:dyDescent="0.25">
      <c r="A10" s="340" t="s">
        <v>397</v>
      </c>
      <c r="B10" s="340" t="s">
        <v>38</v>
      </c>
      <c r="C10" s="340" t="s">
        <v>41</v>
      </c>
      <c r="D10" s="342">
        <v>87500.06</v>
      </c>
      <c r="E10" s="342">
        <v>26137.43</v>
      </c>
      <c r="F10" s="342">
        <v>758097.95</v>
      </c>
    </row>
    <row r="11" spans="1:7" x14ac:dyDescent="0.25">
      <c r="A11" s="340" t="s">
        <v>397</v>
      </c>
      <c r="B11" s="340" t="s">
        <v>39</v>
      </c>
      <c r="C11" s="340" t="s">
        <v>41</v>
      </c>
      <c r="D11" s="342">
        <v>24101.84</v>
      </c>
      <c r="E11" s="342">
        <v>6406.6</v>
      </c>
      <c r="F11" s="342">
        <v>71720.009999999995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871735.44</v>
      </c>
      <c r="E14" s="390"/>
      <c r="F14" s="417"/>
    </row>
    <row r="15" spans="1:7" x14ac:dyDescent="0.25">
      <c r="A15" s="336" t="s">
        <v>39</v>
      </c>
      <c r="B15" s="415">
        <f>SUM(D11:F11)</f>
        <v>102228.45</v>
      </c>
    </row>
    <row r="16" spans="1:7" x14ac:dyDescent="0.25">
      <c r="A16" s="336" t="s">
        <v>2</v>
      </c>
      <c r="B16" s="415">
        <f>SUM(D9:F9)</f>
        <v>2385.16</v>
      </c>
    </row>
    <row r="17" spans="1:6" x14ac:dyDescent="0.25">
      <c r="A17" s="336" t="s">
        <v>3</v>
      </c>
      <c r="B17" s="415">
        <f>SUM(D8:F8)</f>
        <v>8143.5199999999995</v>
      </c>
    </row>
    <row r="18" spans="1:6" ht="15.75" thickBot="1" x14ac:dyDescent="0.3">
      <c r="A18" s="361"/>
      <c r="B18" s="416">
        <f>SUM(B14:B17)</f>
        <v>984492.57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23"/>
  <sheetViews>
    <sheetView zoomScale="130" zoomScaleNormal="130" workbookViewId="0">
      <selection activeCell="K14" sqref="K14"/>
    </sheetView>
  </sheetViews>
  <sheetFormatPr defaultColWidth="9.140625" defaultRowHeight="15" x14ac:dyDescent="0.25"/>
  <cols>
    <col min="1" max="1" width="10.7109375" style="336" customWidth="1"/>
    <col min="2" max="2" width="10.85546875" style="336" customWidth="1"/>
    <col min="3" max="7" width="10.7109375" style="336" customWidth="1"/>
    <col min="8" max="8" width="21.7109375" style="336" bestFit="1" customWidth="1"/>
    <col min="9" max="10" width="9.140625" style="336"/>
    <col min="11" max="11" width="10.140625" style="336" bestFit="1" customWidth="1"/>
    <col min="12" max="16384" width="9.140625" style="336"/>
  </cols>
  <sheetData>
    <row r="1" spans="1:7" ht="15.75" thickBot="1" x14ac:dyDescent="0.3">
      <c r="A1" s="486" t="s">
        <v>77</v>
      </c>
      <c r="B1" s="489"/>
      <c r="C1" s="489"/>
      <c r="D1" s="489"/>
      <c r="E1" s="489"/>
      <c r="F1" s="490"/>
    </row>
    <row r="2" spans="1:7" x14ac:dyDescent="0.25">
      <c r="A2" s="491" t="s">
        <v>73</v>
      </c>
      <c r="B2" s="492"/>
      <c r="C2" s="492"/>
      <c r="D2" s="492"/>
      <c r="E2" s="492"/>
      <c r="F2" s="493"/>
    </row>
    <row r="3" spans="1:7" x14ac:dyDescent="0.25">
      <c r="A3" s="480" t="s">
        <v>341</v>
      </c>
      <c r="B3" s="494"/>
      <c r="C3" s="494"/>
      <c r="D3" s="494"/>
      <c r="E3" s="494"/>
      <c r="F3" s="495"/>
    </row>
    <row r="4" spans="1:7" x14ac:dyDescent="0.25">
      <c r="A4" s="480" t="s">
        <v>92</v>
      </c>
      <c r="B4" s="494"/>
      <c r="C4" s="494"/>
      <c r="D4" s="494"/>
      <c r="E4" s="494"/>
      <c r="F4" s="495"/>
    </row>
    <row r="5" spans="1:7" ht="15.75" thickBot="1" x14ac:dyDescent="0.3">
      <c r="A5" s="483" t="s">
        <v>76</v>
      </c>
      <c r="B5" s="496"/>
      <c r="C5" s="496"/>
      <c r="D5" s="496"/>
      <c r="E5" s="496"/>
      <c r="F5" s="497"/>
    </row>
    <row r="6" spans="1:7" x14ac:dyDescent="0.25">
      <c r="G6" s="337"/>
    </row>
    <row r="7" spans="1:7" x14ac:dyDescent="0.25">
      <c r="A7" s="339" t="s">
        <v>32</v>
      </c>
      <c r="B7" s="339" t="s">
        <v>33</v>
      </c>
      <c r="C7" s="339" t="s">
        <v>40</v>
      </c>
      <c r="D7" s="339" t="s">
        <v>34</v>
      </c>
      <c r="E7" s="339" t="s">
        <v>35</v>
      </c>
      <c r="F7" s="339" t="s">
        <v>103</v>
      </c>
    </row>
    <row r="8" spans="1:7" x14ac:dyDescent="0.25">
      <c r="A8" s="340" t="s">
        <v>397</v>
      </c>
      <c r="B8" s="340" t="s">
        <v>38</v>
      </c>
      <c r="C8" s="340" t="s">
        <v>3</v>
      </c>
      <c r="D8" s="342">
        <v>1244.81</v>
      </c>
      <c r="E8" s="342">
        <v>0</v>
      </c>
      <c r="F8" s="342">
        <v>7055.86</v>
      </c>
    </row>
    <row r="9" spans="1:7" x14ac:dyDescent="0.25">
      <c r="A9" s="340" t="s">
        <v>397</v>
      </c>
      <c r="B9" s="340" t="s">
        <v>38</v>
      </c>
      <c r="C9" s="340" t="s">
        <v>323</v>
      </c>
      <c r="D9" s="342">
        <v>204.7</v>
      </c>
      <c r="E9" s="342">
        <v>1966.72</v>
      </c>
      <c r="F9" s="342">
        <v>127.71</v>
      </c>
    </row>
    <row r="10" spans="1:7" x14ac:dyDescent="0.25">
      <c r="A10" s="340" t="s">
        <v>397</v>
      </c>
      <c r="B10" s="340" t="s">
        <v>38</v>
      </c>
      <c r="C10" s="340" t="s">
        <v>41</v>
      </c>
      <c r="D10" s="342">
        <v>39350.39</v>
      </c>
      <c r="E10" s="342">
        <v>60507.22</v>
      </c>
      <c r="F10" s="342">
        <v>731685.57</v>
      </c>
    </row>
    <row r="11" spans="1:7" x14ac:dyDescent="0.25">
      <c r="A11" s="340" t="s">
        <v>397</v>
      </c>
      <c r="B11" s="340" t="s">
        <v>39</v>
      </c>
      <c r="C11" s="340" t="s">
        <v>41</v>
      </c>
      <c r="D11" s="342">
        <v>7372.49</v>
      </c>
      <c r="E11" s="342">
        <v>3310.05</v>
      </c>
      <c r="F11" s="342">
        <v>78126.62</v>
      </c>
    </row>
    <row r="13" spans="1:7" x14ac:dyDescent="0.25">
      <c r="A13" s="354" t="s">
        <v>79</v>
      </c>
      <c r="B13" s="355" t="s">
        <v>80</v>
      </c>
      <c r="E13" s="390"/>
    </row>
    <row r="14" spans="1:7" x14ac:dyDescent="0.25">
      <c r="A14" s="336" t="s">
        <v>38</v>
      </c>
      <c r="B14" s="415">
        <f>SUM(D10:F10)</f>
        <v>831543.17999999993</v>
      </c>
      <c r="E14" s="390"/>
      <c r="F14" s="417"/>
    </row>
    <row r="15" spans="1:7" x14ac:dyDescent="0.25">
      <c r="A15" s="336" t="s">
        <v>39</v>
      </c>
      <c r="B15" s="415">
        <f>SUM(D11:F11)</f>
        <v>88809.16</v>
      </c>
    </row>
    <row r="16" spans="1:7" x14ac:dyDescent="0.25">
      <c r="A16" s="336" t="s">
        <v>2</v>
      </c>
      <c r="B16" s="415">
        <f>SUM(D9:F9)</f>
        <v>2299.13</v>
      </c>
    </row>
    <row r="17" spans="1:6" x14ac:dyDescent="0.25">
      <c r="A17" s="336" t="s">
        <v>3</v>
      </c>
      <c r="B17" s="415">
        <f>SUM(D8:F8)</f>
        <v>8300.67</v>
      </c>
    </row>
    <row r="18" spans="1:6" ht="15.75" thickBot="1" x14ac:dyDescent="0.3">
      <c r="A18" s="361"/>
      <c r="B18" s="416">
        <f>SUM(B14:B17)</f>
        <v>930952.14</v>
      </c>
    </row>
    <row r="19" spans="1:6" x14ac:dyDescent="0.25">
      <c r="B19" s="429"/>
    </row>
    <row r="22" spans="1:6" x14ac:dyDescent="0.25">
      <c r="D22" s="345"/>
      <c r="E22" s="345"/>
      <c r="F22" s="345"/>
    </row>
    <row r="23" spans="1:6" x14ac:dyDescent="0.25">
      <c r="B23" s="414"/>
      <c r="D23" s="345"/>
      <c r="E23" s="345"/>
      <c r="F23" s="345"/>
    </row>
  </sheetData>
  <mergeCells count="5">
    <mergeCell ref="A1:F1"/>
    <mergeCell ref="A2:F2"/>
    <mergeCell ref="A3:F3"/>
    <mergeCell ref="A4:F4"/>
    <mergeCell ref="A5:F5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194</vt:i4>
      </vt:variant>
      <vt:variant>
        <vt:lpstr>Named Ranges</vt:lpstr>
      </vt:variant>
      <vt:variant>
        <vt:i4>1</vt:i4>
      </vt:variant>
    </vt:vector>
  </HeadingPairs>
  <TitlesOfParts>
    <vt:vector size="195" baseType="lpstr">
      <vt:lpstr>Categories</vt:lpstr>
      <vt:lpstr>Categories - Chart</vt:lpstr>
      <vt:lpstr>Monthly Performance</vt:lpstr>
      <vt:lpstr>Monthly Summary</vt:lpstr>
      <vt:lpstr>Sheet1</vt:lpstr>
      <vt:lpstr>90 Day Res</vt:lpstr>
      <vt:lpstr>Notes - Jun25</vt:lpstr>
      <vt:lpstr>Notes - May25</vt:lpstr>
      <vt:lpstr>Notes - Apr25</vt:lpstr>
      <vt:lpstr>Notes - Mar25</vt:lpstr>
      <vt:lpstr>Notes - Feb25</vt:lpstr>
      <vt:lpstr>Notes - Jan25</vt:lpstr>
      <vt:lpstr>Notes - Dec24</vt:lpstr>
      <vt:lpstr>Notes - Nov24</vt:lpstr>
      <vt:lpstr>Notes - Oct24</vt:lpstr>
      <vt:lpstr>Notes - Sep24</vt:lpstr>
      <vt:lpstr>Notes - Aug24</vt:lpstr>
      <vt:lpstr>Notes - Jul24</vt:lpstr>
      <vt:lpstr>Notes - Jun24</vt:lpstr>
      <vt:lpstr>Notes - May24</vt:lpstr>
      <vt:lpstr>Notes - Apr24</vt:lpstr>
      <vt:lpstr>Notes - Mar24</vt:lpstr>
      <vt:lpstr>Notes - Feb24</vt:lpstr>
      <vt:lpstr>Notes - Jan24</vt:lpstr>
      <vt:lpstr>Notes - Dec23</vt:lpstr>
      <vt:lpstr>Notes - Nov23</vt:lpstr>
      <vt:lpstr>Notes - Oct23</vt:lpstr>
      <vt:lpstr>Notes - Sep23</vt:lpstr>
      <vt:lpstr>Notes - Aug23</vt:lpstr>
      <vt:lpstr>Notes - Jul23</vt:lpstr>
      <vt:lpstr>Notes - Jun23</vt:lpstr>
      <vt:lpstr>Notes - May23</vt:lpstr>
      <vt:lpstr>Notes - Apr23</vt:lpstr>
      <vt:lpstr>Notes - Mar23</vt:lpstr>
      <vt:lpstr>Notes - Feb23</vt:lpstr>
      <vt:lpstr>Notes - Jan23</vt:lpstr>
      <vt:lpstr>Notes - Dec22</vt:lpstr>
      <vt:lpstr>Notes - Nov22</vt:lpstr>
      <vt:lpstr>Notes - Oct22</vt:lpstr>
      <vt:lpstr>Notes - Sep22</vt:lpstr>
      <vt:lpstr>Notes - AUG22</vt:lpstr>
      <vt:lpstr>Notes - July22</vt:lpstr>
      <vt:lpstr>Notes - June22</vt:lpstr>
      <vt:lpstr>Notes - May22</vt:lpstr>
      <vt:lpstr>Notes - April22</vt:lpstr>
      <vt:lpstr>Notes - March22</vt:lpstr>
      <vt:lpstr>Notes - Feb22</vt:lpstr>
      <vt:lpstr>Notes - Jan22</vt:lpstr>
      <vt:lpstr>Notes - Dec21</vt:lpstr>
      <vt:lpstr>Notes - Nov21</vt:lpstr>
      <vt:lpstr>Notes - Oct21</vt:lpstr>
      <vt:lpstr>Notes - Sept21</vt:lpstr>
      <vt:lpstr>Notes - Aug21</vt:lpstr>
      <vt:lpstr>Notes - Jul21</vt:lpstr>
      <vt:lpstr>Notes - Jun21</vt:lpstr>
      <vt:lpstr>Notes - May21</vt:lpstr>
      <vt:lpstr>Notes - Apr21</vt:lpstr>
      <vt:lpstr>Notes - Mar21</vt:lpstr>
      <vt:lpstr>Notes - Feb21</vt:lpstr>
      <vt:lpstr>Notes - Jan21</vt:lpstr>
      <vt:lpstr>Notes - Dec20</vt:lpstr>
      <vt:lpstr>Notes - Nov20</vt:lpstr>
      <vt:lpstr>Notes - Oct20</vt:lpstr>
      <vt:lpstr>Notes - Sep20</vt:lpstr>
      <vt:lpstr>Notes - Aug20</vt:lpstr>
      <vt:lpstr>Notes - Jul20</vt:lpstr>
      <vt:lpstr>Notes - Jun20</vt:lpstr>
      <vt:lpstr>Notes - May20</vt:lpstr>
      <vt:lpstr>Notes - Apr20</vt:lpstr>
      <vt:lpstr>Notes - Mar20</vt:lpstr>
      <vt:lpstr>Notes - Feb20</vt:lpstr>
      <vt:lpstr>Notes - Jan20</vt:lpstr>
      <vt:lpstr>Notes - Dec19</vt:lpstr>
      <vt:lpstr>Notes - Nov19</vt:lpstr>
      <vt:lpstr>Notes - Oct19</vt:lpstr>
      <vt:lpstr>Notes - Sep19</vt:lpstr>
      <vt:lpstr>Notes - Aug19</vt:lpstr>
      <vt:lpstr>Notes - Jul19</vt:lpstr>
      <vt:lpstr>Notes - Jun19</vt:lpstr>
      <vt:lpstr>Notes - May19</vt:lpstr>
      <vt:lpstr>Notes - Apr19</vt:lpstr>
      <vt:lpstr>Notes - Mar19</vt:lpstr>
      <vt:lpstr>Notes - Feb19</vt:lpstr>
      <vt:lpstr>Notes - Jan19</vt:lpstr>
      <vt:lpstr>Notes - Dec18</vt:lpstr>
      <vt:lpstr>Notes - Nov18</vt:lpstr>
      <vt:lpstr>Notes - Oct18</vt:lpstr>
      <vt:lpstr>Notes - Sept18</vt:lpstr>
      <vt:lpstr>Notes - Aug18</vt:lpstr>
      <vt:lpstr>Notes - Jul18</vt:lpstr>
      <vt:lpstr>Notes - Jun18</vt:lpstr>
      <vt:lpstr>Notes - May18</vt:lpstr>
      <vt:lpstr>Notes - Apr18</vt:lpstr>
      <vt:lpstr>Notes - Mar18</vt:lpstr>
      <vt:lpstr>Notes - Feb18</vt:lpstr>
      <vt:lpstr>Notes - Jan18</vt:lpstr>
      <vt:lpstr>Notes - Dec17</vt:lpstr>
      <vt:lpstr>Notes - Nov17</vt:lpstr>
      <vt:lpstr>Notes - Oct17</vt:lpstr>
      <vt:lpstr>Notes - Sept17</vt:lpstr>
      <vt:lpstr>Notes - Aug17</vt:lpstr>
      <vt:lpstr>Notes - July17</vt:lpstr>
      <vt:lpstr>Notes - June17</vt:lpstr>
      <vt:lpstr>Notes - May17</vt:lpstr>
      <vt:lpstr>Notes - April17</vt:lpstr>
      <vt:lpstr>Notes - Mar17</vt:lpstr>
      <vt:lpstr>Notes - Feb17 </vt:lpstr>
      <vt:lpstr>Notes - Jan17</vt:lpstr>
      <vt:lpstr>Notes - Dec16</vt:lpstr>
      <vt:lpstr>Notes - Nov16</vt:lpstr>
      <vt:lpstr>Notes - Oct16</vt:lpstr>
      <vt:lpstr>Notes - Sep16</vt:lpstr>
      <vt:lpstr>Notes - Aug16</vt:lpstr>
      <vt:lpstr>Notes - Jul16</vt:lpstr>
      <vt:lpstr>Notes - Jun16</vt:lpstr>
      <vt:lpstr>Notes - May16</vt:lpstr>
      <vt:lpstr>Notes - Apr16</vt:lpstr>
      <vt:lpstr>Notes - Mar16</vt:lpstr>
      <vt:lpstr>Notes - Feb16</vt:lpstr>
      <vt:lpstr>Notes - Jan16</vt:lpstr>
      <vt:lpstr>Notes - Dec15</vt:lpstr>
      <vt:lpstr>Notes - Nov15</vt:lpstr>
      <vt:lpstr>Notes - Oct15</vt:lpstr>
      <vt:lpstr>Notes - Sep15</vt:lpstr>
      <vt:lpstr>Notes - Aug15</vt:lpstr>
      <vt:lpstr>Notes - Jul15</vt:lpstr>
      <vt:lpstr>Notes - Jun15</vt:lpstr>
      <vt:lpstr>Notes - May15</vt:lpstr>
      <vt:lpstr>Notes - Apr15</vt:lpstr>
      <vt:lpstr>Notes - Mar15</vt:lpstr>
      <vt:lpstr>Notes - Feb15</vt:lpstr>
      <vt:lpstr>Notes - Jan15</vt:lpstr>
      <vt:lpstr>Notes - Dec14</vt:lpstr>
      <vt:lpstr>Notes - Nov14</vt:lpstr>
      <vt:lpstr>Notes - Oct14</vt:lpstr>
      <vt:lpstr>Notes - Sep14</vt:lpstr>
      <vt:lpstr>Notes - Aug14</vt:lpstr>
      <vt:lpstr>Notes - Jul14</vt:lpstr>
      <vt:lpstr>Notes - Jun14</vt:lpstr>
      <vt:lpstr>Notes - May14</vt:lpstr>
      <vt:lpstr>Notes - Apr14</vt:lpstr>
      <vt:lpstr>Notes - Mar14</vt:lpstr>
      <vt:lpstr>Notes - Feb14</vt:lpstr>
      <vt:lpstr>Notes - Jan14</vt:lpstr>
      <vt:lpstr>Notes - Dec13</vt:lpstr>
      <vt:lpstr>Notes - Nov13</vt:lpstr>
      <vt:lpstr>Notes - Oct13</vt:lpstr>
      <vt:lpstr>Notes - Sep13</vt:lpstr>
      <vt:lpstr>Notes - Aug13</vt:lpstr>
      <vt:lpstr>Notes - Jul 13</vt:lpstr>
      <vt:lpstr>Notes - Jun13</vt:lpstr>
      <vt:lpstr>Notes - May13</vt:lpstr>
      <vt:lpstr>Notes - Apr13</vt:lpstr>
      <vt:lpstr>Notes - Mar13</vt:lpstr>
      <vt:lpstr>Notes - Feb13</vt:lpstr>
      <vt:lpstr>Notes - Jan13</vt:lpstr>
      <vt:lpstr>Notes - Dec12</vt:lpstr>
      <vt:lpstr>Notes - Nov12</vt:lpstr>
      <vt:lpstr>Notes - Oct12</vt:lpstr>
      <vt:lpstr>Notes - Sep12</vt:lpstr>
      <vt:lpstr>Notes - Aug12</vt:lpstr>
      <vt:lpstr>Notes - Jul12</vt:lpstr>
      <vt:lpstr>Notes - Jun12</vt:lpstr>
      <vt:lpstr>Notes - May12</vt:lpstr>
      <vt:lpstr>Notes - Apr12</vt:lpstr>
      <vt:lpstr>Sundry Debtors</vt:lpstr>
      <vt:lpstr>Notes - Mar12</vt:lpstr>
      <vt:lpstr>Notes - Feb12</vt:lpstr>
      <vt:lpstr>Notes - Jan12</vt:lpstr>
      <vt:lpstr>Notes - Dec11</vt:lpstr>
      <vt:lpstr>Notes - Nov11</vt:lpstr>
      <vt:lpstr>Notes - Oct11</vt:lpstr>
      <vt:lpstr>Notes - Sep11</vt:lpstr>
      <vt:lpstr>Notes - Aug 11</vt:lpstr>
      <vt:lpstr>Notes - Jul 11</vt:lpstr>
      <vt:lpstr>Notes - Jun 11</vt:lpstr>
      <vt:lpstr>Notes - May 11</vt:lpstr>
      <vt:lpstr>Notes - Apr 11</vt:lpstr>
      <vt:lpstr>Notes - Mar 11</vt:lpstr>
      <vt:lpstr>Notes - Feb 11</vt:lpstr>
      <vt:lpstr>Notes - Jan 11</vt:lpstr>
      <vt:lpstr>Notes - Dec 10</vt:lpstr>
      <vt:lpstr>Notes - Nov 10</vt:lpstr>
      <vt:lpstr>Notes - Oct 10</vt:lpstr>
      <vt:lpstr>Notes - Sept10</vt:lpstr>
      <vt:lpstr>Notes - Aug10</vt:lpstr>
      <vt:lpstr>Notes - Jul10</vt:lpstr>
      <vt:lpstr>Notes - Jun10</vt:lpstr>
      <vt:lpstr>Notes - May10</vt:lpstr>
      <vt:lpstr>Notes - Apr10</vt:lpstr>
      <vt:lpstr>Notes - Mar10</vt:lpstr>
      <vt:lpstr>Monthly Summary Performance</vt:lpstr>
      <vt:lpstr>Other Graphs</vt:lpstr>
      <vt:lpstr>Res-NonRes-Rural</vt:lpstr>
      <vt:lpstr>'Monthly Summary Performance'!OLE_LINK2</vt:lpstr>
    </vt:vector>
  </TitlesOfParts>
  <Company>Wannon Water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Kearns</dc:creator>
  <cp:lastModifiedBy>Andrew Dilley</cp:lastModifiedBy>
  <cp:lastPrinted>2017-01-05T21:41:56Z</cp:lastPrinted>
  <dcterms:created xsi:type="dcterms:W3CDTF">2010-01-07T04:47:13Z</dcterms:created>
  <dcterms:modified xsi:type="dcterms:W3CDTF">2025-07-09T01:05:27Z</dcterms:modified>
</cp:coreProperties>
</file>