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3"/>
    <sheet state="visible" name="Data" sheetId="2" r:id="rId4"/>
    <sheet state="visible" name="Data (Genre Transformed)" sheetId="3" r:id="rId5"/>
    <sheet state="visible" name="Profiling" sheetId="4" r:id="rId6"/>
  </sheets>
  <definedNames/>
  <calcPr/>
  <pivotCaches>
    <pivotCache cacheId="0" r:id="rId7"/>
    <pivotCache cacheId="1" r:id="rId8"/>
    <pivotCache cacheId="2" r:id="rId9"/>
  </pivotCaches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P1">
      <text>
        <t xml:space="preserve">All outliers are valid data
	-Andrew Dineen</t>
      </text>
    </comment>
    <comment authorId="0" ref="N1">
      <text>
        <t xml:space="preserve">All outliers are valid data
	-Andrew Dineen</t>
      </text>
    </comment>
  </commentList>
</comments>
</file>

<file path=xl/sharedStrings.xml><?xml version="1.0" encoding="utf-8"?>
<sst xmlns="http://schemas.openxmlformats.org/spreadsheetml/2006/main" count="4774" uniqueCount="2866">
  <si>
    <t>ReleaseYear</t>
  </si>
  <si>
    <t>Average Budget</t>
  </si>
  <si>
    <t>Average Box Office Revenue</t>
  </si>
  <si>
    <t>Average Box Office Profit</t>
  </si>
  <si>
    <t>2012</t>
  </si>
  <si>
    <t>2013</t>
  </si>
  <si>
    <t>2014</t>
  </si>
  <si>
    <t>2015</t>
  </si>
  <si>
    <t>2016</t>
  </si>
  <si>
    <t>Genre</t>
  </si>
  <si>
    <t>Adventure</t>
  </si>
  <si>
    <t>Family</t>
  </si>
  <si>
    <t>Animation</t>
  </si>
  <si>
    <t>Fantasy</t>
  </si>
  <si>
    <t>Sci-Fi</t>
  </si>
  <si>
    <t>Action</t>
  </si>
  <si>
    <t>Mystery</t>
  </si>
  <si>
    <t>Comedy</t>
  </si>
  <si>
    <t>Horror</t>
  </si>
  <si>
    <t>Thriller</t>
  </si>
  <si>
    <t>Drama</t>
  </si>
  <si>
    <t>Musical</t>
  </si>
  <si>
    <t>Romance</t>
  </si>
  <si>
    <t>Documentary</t>
  </si>
  <si>
    <t>Biography</t>
  </si>
  <si>
    <t>Crime</t>
  </si>
  <si>
    <t>Religious</t>
  </si>
  <si>
    <t>Sports</t>
  </si>
  <si>
    <t>Number of Titles</t>
  </si>
  <si>
    <t>Primary Director</t>
  </si>
  <si>
    <t>Tim Miller</t>
  </si>
  <si>
    <t>Bill Condon</t>
  </si>
  <si>
    <t>Peter Jackson</t>
  </si>
  <si>
    <t>Chris Renaud</t>
  </si>
  <si>
    <t>Eric Darnell</t>
  </si>
  <si>
    <t>Francis Lawrence</t>
  </si>
  <si>
    <t>Anthony Russo</t>
  </si>
  <si>
    <t>Zack Snyder</t>
  </si>
  <si>
    <t>Marc Webb</t>
  </si>
  <si>
    <t>Christopher Nolan</t>
  </si>
  <si>
    <t>Movie Title</t>
  </si>
  <si>
    <t>Release Date</t>
  </si>
  <si>
    <t>Wikipedia URL</t>
  </si>
  <si>
    <t>Genre (1)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</si>
  <si>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</si>
  <si>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</si>
  <si>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</si>
  <si>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</si>
  <si>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</si>
  <si>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</si>
  <si>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</si>
  <si>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</si>
  <si>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</si>
  <si>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Z-Score (Budget)</t>
  </si>
  <si>
    <t>Box Office Revenue ($)</t>
  </si>
  <si>
    <t>Z-Score (Revenue)</t>
  </si>
  <si>
    <t xml:space="preserve"> </t>
  </si>
  <si>
    <t>10 Cloverfield Lane</t>
  </si>
  <si>
    <t>https://en.wikipedia.org/wiki/10_Cloverfield_Lane</t>
  </si>
  <si>
    <t>Dan Trachtenberg</t>
  </si>
  <si>
    <t>Mary Elizabeth Winstead</t>
  </si>
  <si>
    <t>John Goodman</t>
  </si>
  <si>
    <t>John Gallagher</t>
  </si>
  <si>
    <t>Budget-Revenue Correlation</t>
  </si>
  <si>
    <t>13 Hours: The Secret Soldiers of Benghazi</t>
  </si>
  <si>
    <t>https://en.wikipedia.org/wiki/13_Hours:_The_Secret_Soldiers_of_Benghazi</t>
  </si>
  <si>
    <t>Michael Bay</t>
  </si>
  <si>
    <t>James Badge Dale</t>
  </si>
  <si>
    <t>John Krasinski</t>
  </si>
  <si>
    <t>Toby Stephens</t>
  </si>
  <si>
    <t>Pablo Schreiber</t>
  </si>
  <si>
    <t>Max Martini</t>
  </si>
  <si>
    <t>Budget-Revenue DF</t>
  </si>
  <si>
    <t>2 Guns</t>
  </si>
  <si>
    <t>https://en.wikipedia.org/wiki/2_Guns</t>
  </si>
  <si>
    <t>Baltasar Kormákur</t>
  </si>
  <si>
    <t>Mark Wahlberg</t>
  </si>
  <si>
    <t>Denzel Washington</t>
  </si>
  <si>
    <t>Paula Patton</t>
  </si>
  <si>
    <t>Bill Paxton</t>
  </si>
  <si>
    <t>Edward James Olmos</t>
  </si>
  <si>
    <t>Budget-Revenue P-Value</t>
  </si>
  <si>
    <t>21 Jump Street</t>
  </si>
  <si>
    <t>https://en.wikipedia.org/wiki/21_Jump_Street_(film)</t>
  </si>
  <si>
    <t>Phil Lord</t>
  </si>
  <si>
    <t>Chris Miller</t>
  </si>
  <si>
    <t>Jonah Hill</t>
  </si>
  <si>
    <t>Channing Tatum</t>
  </si>
  <si>
    <t>Ice Cube</t>
  </si>
  <si>
    <t>Brie Larson</t>
  </si>
  <si>
    <t>Rob Riggle</t>
  </si>
  <si>
    <t>22 Jump Street</t>
  </si>
  <si>
    <t>https://en.wikipedia.org/wiki/22_Jump_Street</t>
  </si>
  <si>
    <t>300: Rise of an Empire</t>
  </si>
  <si>
    <t>https://en.wikipedia.org/wiki/300:_Rise_of_an_Empire</t>
  </si>
  <si>
    <t>Noam Murro</t>
  </si>
  <si>
    <t>Rodrigo Santoro</t>
  </si>
  <si>
    <t>Eva Green</t>
  </si>
  <si>
    <t>Sullivan Stapleton</t>
  </si>
  <si>
    <t>Hans Matheson</t>
  </si>
  <si>
    <t>Lena Headey</t>
  </si>
  <si>
    <t>42</t>
  </si>
  <si>
    <t>https://en.wikipedia.org/wiki/42_(film)</t>
  </si>
  <si>
    <t>Brian Helgeland</t>
  </si>
  <si>
    <t>Harrison Ford</t>
  </si>
  <si>
    <t>Chadwick Boseman</t>
  </si>
  <si>
    <t>Christopher Meloni</t>
  </si>
  <si>
    <t>Ryan Merriman</t>
  </si>
  <si>
    <t>Andre Holland</t>
  </si>
  <si>
    <t>71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</si>
  <si>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</si>
  <si>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</si>
  <si>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</si>
  <si>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</si>
  <si>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</si>
  <si>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</si>
  <si>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</si>
  <si>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</si>
  <si>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</si>
  <si>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</si>
  <si>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</si>
  <si>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</si>
  <si>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</si>
  <si>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A Good Day to Die Hard</t>
  </si>
  <si>
    <t>https://en.wikipedia.org/wiki/A_Good_Day_to_Die_Hard</t>
  </si>
  <si>
    <t>John Moore</t>
  </si>
  <si>
    <t>Bruce Willis</t>
  </si>
  <si>
    <t>Jai Courtney</t>
  </si>
  <si>
    <t>Sebastian Koch</t>
  </si>
  <si>
    <t>Yuliya Snigir</t>
  </si>
  <si>
    <t>Radivoje Bukvić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</si>
  <si>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</si>
  <si>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</si>
  <si>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</si>
  <si>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</si>
  <si>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</si>
  <si>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</si>
  <si>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</si>
  <si>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</si>
  <si>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A Haunted House 2</t>
  </si>
  <si>
    <t>https://en.wikipedia.org/wiki/A_Haunted_House_2</t>
  </si>
  <si>
    <t>Jaime Pressly</t>
  </si>
  <si>
    <t>Gabriel Iglesias</t>
  </si>
  <si>
    <t>A Long Way Down</t>
  </si>
  <si>
    <t>https://en.wikipedia.org/wiki/A_Long_Way_Down_(film)</t>
  </si>
  <si>
    <t>Pascal Chaumeil</t>
  </si>
  <si>
    <t>Toni Collette</t>
  </si>
  <si>
    <t>Pierce Brosnan</t>
  </si>
  <si>
    <t>Aaron Paul</t>
  </si>
  <si>
    <t>Imogen Poots</t>
  </si>
  <si>
    <t>A Most Violent Year</t>
  </si>
  <si>
    <t>https://en.wikipedia.org/wiki/A_Most_Violent_Year</t>
  </si>
  <si>
    <t>J. C. Chandor</t>
  </si>
  <si>
    <t>Oscar Isaac</t>
  </si>
  <si>
    <t>Jessica Chastain</t>
  </si>
  <si>
    <t>Alessandro Nivola</t>
  </si>
  <si>
    <t>David Oyelowo</t>
  </si>
  <si>
    <t>Albert Brooks</t>
  </si>
  <si>
    <t>A Most Wanted Man</t>
  </si>
  <si>
    <t>https://en.wikipedia.org/wiki/A_Most_Wanted_Man_(film)</t>
  </si>
  <si>
    <t>Anton Corbijn</t>
  </si>
  <si>
    <t>Philip Seymour Hoffman</t>
  </si>
  <si>
    <t>Rachel McAdams</t>
  </si>
  <si>
    <t>Robin Wright</t>
  </si>
  <si>
    <t>Willem Dafoe</t>
  </si>
  <si>
    <t>Grigoriy Dobrygin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</si>
  <si>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</si>
  <si>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</si>
  <si>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</si>
  <si>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</si>
  <si>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</si>
  <si>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</si>
  <si>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</si>
  <si>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</si>
  <si>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A Walk Among the Tombstones</t>
  </si>
  <si>
    <t>https://en.wikipedia.org/wiki/A_Walk_Among_the_Tombstones_(film)</t>
  </si>
  <si>
    <t>Scott Frank</t>
  </si>
  <si>
    <t>Liam Neeson</t>
  </si>
  <si>
    <t>Dan Stevens</t>
  </si>
  <si>
    <t>Ruth Wilson</t>
  </si>
  <si>
    <t>Boyd Holbrook</t>
  </si>
  <si>
    <t>A Walk in the Woods</t>
  </si>
  <si>
    <t>https://en.wikipedia.org/wiki/A_Walk_in_the_Woods_(film)</t>
  </si>
  <si>
    <t>Ken Kwapis</t>
  </si>
  <si>
    <t>Robert Redford</t>
  </si>
  <si>
    <t>Nick Nolte</t>
  </si>
  <si>
    <t>Emma Thompson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</si>
  <si>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</si>
  <si>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</si>
  <si>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</si>
  <si>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</si>
  <si>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</si>
  <si>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</si>
  <si>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Rufus Sewell</t>
  </si>
  <si>
    <t>After Earth</t>
  </si>
  <si>
    <t>https://en.wikipedia.org/wiki/After_Earth</t>
  </si>
  <si>
    <t>M. Night Shyamalan</t>
  </si>
  <si>
    <t>Jaden Smith</t>
  </si>
  <si>
    <t>Will Smith</t>
  </si>
  <si>
    <t>Isabelle Fuhrman</t>
  </si>
  <si>
    <t>Zoe Kravitz</t>
  </si>
  <si>
    <t>Ain't Them Bodies Saints</t>
  </si>
  <si>
    <t>https://en.wikipedia.org/wiki/Ain%2527t_Them_Bodies_Saints</t>
  </si>
  <si>
    <t>David Lowery</t>
  </si>
  <si>
    <t>Casey Affleck</t>
  </si>
  <si>
    <t>Rooney Mara</t>
  </si>
  <si>
    <t>Ben Foster</t>
  </si>
  <si>
    <t>Rami Malek</t>
  </si>
  <si>
    <t>Keith Carradine</t>
  </si>
  <si>
    <t>Alex Cross</t>
  </si>
  <si>
    <t>https://en.wikipedia.org/wiki/Alex_Cross_(film)</t>
  </si>
  <si>
    <t>Rob Cohen</t>
  </si>
  <si>
    <t>Tyler Perry</t>
  </si>
  <si>
    <t>Matthew Fox</t>
  </si>
  <si>
    <t>Rachel Nichols</t>
  </si>
  <si>
    <t>Edward Burns</t>
  </si>
  <si>
    <t>Jean Reno</t>
  </si>
  <si>
    <t>Aloha</t>
  </si>
  <si>
    <t>https://en.wikipedia.org/wiki/Aloha_(film)</t>
  </si>
  <si>
    <t>Cameron Crowe</t>
  </si>
  <si>
    <t>Bradley Cooper</t>
  </si>
  <si>
    <t>Emma Stone</t>
  </si>
  <si>
    <t>Alec Baldwin</t>
  </si>
  <si>
    <t>Bill Murray</t>
  </si>
  <si>
    <t>Alvin and the Chipmunks: The Road Chip</t>
  </si>
  <si>
    <t>https://en.wikipedia.org/wiki/Alvin_and_the_Chipmunks:_The_Road_Chip</t>
  </si>
  <si>
    <t>Walt Becker</t>
  </si>
  <si>
    <t>Jason Lee</t>
  </si>
  <si>
    <t>Tony Hale</t>
  </si>
  <si>
    <t>Kimberly Williams-Paisley</t>
  </si>
  <si>
    <t>Josh Green</t>
  </si>
  <si>
    <t>Bella Thorne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</si>
  <si>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</si>
  <si>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</si>
  <si>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</si>
  <si>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</si>
  <si>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</si>
  <si>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</si>
  <si>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</si>
  <si>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</si>
  <si>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American Sniper</t>
  </si>
  <si>
    <t>https://en.wikipedia.org/wiki/American_Sniper</t>
  </si>
  <si>
    <t>Clint Eastwood</t>
  </si>
  <si>
    <t>Sienna Miller</t>
  </si>
  <si>
    <t>Max Charles</t>
  </si>
  <si>
    <t>Luke Grimes</t>
  </si>
  <si>
    <t>American Ultra</t>
  </si>
  <si>
    <t>https://en.wikipedia.org/wiki/American_Ultra</t>
  </si>
  <si>
    <t>Nima Nourizadeh</t>
  </si>
  <si>
    <t>Jesse Eisenberg</t>
  </si>
  <si>
    <t>Kristen Stewart</t>
  </si>
  <si>
    <t>Connie Britton</t>
  </si>
  <si>
    <t>Topher Grace</t>
  </si>
  <si>
    <t>John Leguizamo</t>
  </si>
  <si>
    <t>Amy</t>
  </si>
  <si>
    <t>https://en.wikipedia.org/wiki/Amy_(2015_film)</t>
  </si>
  <si>
    <t>Asif Kapadia</t>
  </si>
  <si>
    <t>Amy Winehouse</t>
  </si>
  <si>
    <t>Mitchell Winehouse</t>
  </si>
  <si>
    <t>Janis Winehouse</t>
  </si>
  <si>
    <t>Raye Cosbert</t>
  </si>
  <si>
    <t>Nick Shymansky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</si>
  <si>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</si>
  <si>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</si>
  <si>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</si>
  <si>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</si>
  <si>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</si>
  <si>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</si>
  <si>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</si>
  <si>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Annie</t>
  </si>
  <si>
    <t>https://en.wikipedia.org/wiki/Annie_(2014_film)</t>
  </si>
  <si>
    <t>Will Gluck</t>
  </si>
  <si>
    <t>Quvenzhané Wallis</t>
  </si>
  <si>
    <t>Jamie Foxx</t>
  </si>
  <si>
    <t>Cameron Diaz</t>
  </si>
  <si>
    <t>Rose Byrne</t>
  </si>
  <si>
    <t>Bobby Cannavale</t>
  </si>
  <si>
    <t>Ant-Man</t>
  </si>
  <si>
    <t>https://en.wikipedia.org/wiki/Ant-Man_(film)</t>
  </si>
  <si>
    <t>Peyton Reed</t>
  </si>
  <si>
    <t>Paul Rudd</t>
  </si>
  <si>
    <t>Evangeline Lilly</t>
  </si>
  <si>
    <t>Corey Stoll</t>
  </si>
  <si>
    <t>Michael Peña</t>
  </si>
  <si>
    <t>Argo</t>
  </si>
  <si>
    <t>https://en.wikipedia.org/wiki/Argo_(2012_film)</t>
  </si>
  <si>
    <t>Ben Affleck</t>
  </si>
  <si>
    <t>Alan Arkin</t>
  </si>
  <si>
    <t>Bryan Cranston</t>
  </si>
  <si>
    <t>Victor Garber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</si>
  <si>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</si>
  <si>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</si>
  <si>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</si>
  <si>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</si>
  <si>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</si>
  <si>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Edwin Hodge</t>
  </si>
  <si>
    <t>François Civil</t>
  </si>
  <si>
    <t>Marion Lambert</t>
  </si>
  <si>
    <t>Bad Moms</t>
  </si>
  <si>
    <t>https://en.wikipedia.org/wiki/Bad_Moms</t>
  </si>
  <si>
    <t>Jon Lucas</t>
  </si>
  <si>
    <t>Scott Moore</t>
  </si>
  <si>
    <t>Mila Kunis</t>
  </si>
  <si>
    <t>Christina Applegate</t>
  </si>
  <si>
    <t>Kristen Bell</t>
  </si>
  <si>
    <t>Jada Pinkett Smith</t>
  </si>
  <si>
    <t>Kathryn Hahn</t>
  </si>
  <si>
    <t>Barbershop: The Next Cut</t>
  </si>
  <si>
    <t>https://en.wikipedia.org/wiki/Barbershop:_The_Next_Cut</t>
  </si>
  <si>
    <t>Malcolm D. Lee</t>
  </si>
  <si>
    <t>Nicki Minaj</t>
  </si>
  <si>
    <t>Regina Hall</t>
  </si>
  <si>
    <t>Eve</t>
  </si>
  <si>
    <t>Batman v Superman: Dawn of Justice</t>
  </si>
  <si>
    <t>https://en.wikipedia.org/wiki/Batman_v_Superman:_Dawn_of_Justice</t>
  </si>
  <si>
    <t>Henry Cavill</t>
  </si>
  <si>
    <t>Amy Adams</t>
  </si>
  <si>
    <t>Diane Lane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</si>
  <si>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</si>
  <si>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</si>
  <si>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</si>
  <si>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</si>
  <si>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</si>
  <si>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</si>
  <si>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</si>
  <si>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Ray Wise</t>
  </si>
  <si>
    <t>Battle of the Year</t>
  </si>
  <si>
    <t>https://en.wikipedia.org/wiki/Battle_of_the_Year_(film)</t>
  </si>
  <si>
    <t>Benson Lee</t>
  </si>
  <si>
    <t>Josh Holloway</t>
  </si>
  <si>
    <t>Laz Alonso</t>
  </si>
  <si>
    <t>Josh Peck</t>
  </si>
  <si>
    <t>Caity Lotz</t>
  </si>
  <si>
    <t>Chris Brown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</si>
  <si>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</si>
  <si>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</si>
  <si>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</si>
  <si>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</si>
  <si>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</si>
  <si>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</si>
  <si>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</si>
  <si>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Beasts of the Southern Wild</t>
  </si>
  <si>
    <t>https://en.wikipedia.org/wiki/Beasts_of_the_Southern_Wild</t>
  </si>
  <si>
    <t>Benh Zeitlin</t>
  </si>
  <si>
    <t>Dwight Henry</t>
  </si>
  <si>
    <t>Beautiful Creatures</t>
  </si>
  <si>
    <t>https://en.wikipedia.org/wiki/Beautiful_Creatures_(2013_film)</t>
  </si>
  <si>
    <t>Richard LaGravenese</t>
  </si>
  <si>
    <t>Viola Davis</t>
  </si>
  <si>
    <t>Alice Englert</t>
  </si>
  <si>
    <t>Emmy Rossum</t>
  </si>
  <si>
    <t>Jeremy Irons</t>
  </si>
  <si>
    <t>Before I Go to Sleep</t>
  </si>
  <si>
    <t>https://en.wikipedia.org/wiki/Before_I_Go_to_Sleep_(film)</t>
  </si>
  <si>
    <t>Rowan Joffé</t>
  </si>
  <si>
    <t>Nicole Kidman</t>
  </si>
  <si>
    <t>Mark Strong</t>
  </si>
  <si>
    <t>Colin Firth</t>
  </si>
  <si>
    <t>Anne-Marie Duff</t>
  </si>
  <si>
    <t>Ben-Hur</t>
  </si>
  <si>
    <t>https://en.wikipedia.org/wiki/Ben-Hur_(2016_film)</t>
  </si>
  <si>
    <t>Jack Huston</t>
  </si>
  <si>
    <t>Morgan Freeman</t>
  </si>
  <si>
    <t>Toby Kebbell</t>
  </si>
  <si>
    <t>Nazanin Boniadi</t>
  </si>
  <si>
    <t>Beyond the Lights</t>
  </si>
  <si>
    <t>https://en.wikipedia.org/wiki/Beyond_the_Lights</t>
  </si>
  <si>
    <t>Gina Prince-Bythewood</t>
  </si>
  <si>
    <t>Gugu Mbatha-Raw</t>
  </si>
  <si>
    <t>Nate Parker</t>
  </si>
  <si>
    <t>Minnie Driver</t>
  </si>
  <si>
    <t>Danny Glover</t>
  </si>
  <si>
    <t>Big Eyes</t>
  </si>
  <si>
    <t>https://en.wikipedia.org/wiki/Big_Eyes</t>
  </si>
  <si>
    <t>Tim Burton</t>
  </si>
  <si>
    <t>Christoph Waltz</t>
  </si>
  <si>
    <t>Krysten Ritter</t>
  </si>
  <si>
    <t>Danny Huston</t>
  </si>
  <si>
    <t>Terence Stamp</t>
  </si>
  <si>
    <t>Black Mass</t>
  </si>
  <si>
    <t>https://en.wikipedia.org/wiki/Black_Mass_(film)</t>
  </si>
  <si>
    <t>Scott Cooper</t>
  </si>
  <si>
    <t>Johnny Depp</t>
  </si>
  <si>
    <t>Joel Edgerton</t>
  </si>
  <si>
    <t>Benedict Cumberbatch</t>
  </si>
  <si>
    <t>Dakota Johnson</t>
  </si>
  <si>
    <t>Blackhat</t>
  </si>
  <si>
    <t>https://en.wikipedia.org/wiki/Blackhat_(film)</t>
  </si>
  <si>
    <t>Michael Mann</t>
  </si>
  <si>
    <t>Chris Hemsworth</t>
  </si>
  <si>
    <t>John Ortiz</t>
  </si>
  <si>
    <t>Yorick van Wageningen</t>
  </si>
  <si>
    <t>Tang Wei</t>
  </si>
  <si>
    <t>Blended</t>
  </si>
  <si>
    <t>https://en.wikipedia.org/wiki/Blended_(film)</t>
  </si>
  <si>
    <t>Frank Coraci</t>
  </si>
  <si>
    <t>Adam Sandler</t>
  </si>
  <si>
    <t>Drew Barrymore</t>
  </si>
  <si>
    <t>Emma Fuhrmann</t>
  </si>
  <si>
    <t>Terry Crews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</si>
  <si>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</si>
  <si>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</si>
  <si>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</si>
  <si>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</si>
  <si>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</si>
  <si>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</si>
  <si>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</si>
  <si>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Boyhood</t>
  </si>
  <si>
    <t>https://en.wikipedia.org/wiki/Boyhood_(film)</t>
  </si>
  <si>
    <t>Richard Linklater</t>
  </si>
  <si>
    <t>Ethan Hawke</t>
  </si>
  <si>
    <t>Patricia Arquette</t>
  </si>
  <si>
    <t>Ellar Coltrane</t>
  </si>
  <si>
    <t>Brick Mansions</t>
  </si>
  <si>
    <t>https://en.wikipedia.org/wiki/Brick_Mansions</t>
  </si>
  <si>
    <t>Camille Delamarre</t>
  </si>
  <si>
    <t>Paul Walker</t>
  </si>
  <si>
    <t>David Belle</t>
  </si>
  <si>
    <t>RZA</t>
  </si>
  <si>
    <t>Bridge of Spies</t>
  </si>
  <si>
    <t>https://en.wikipedia.org/wiki/Bridge_of_Spies_(film)</t>
  </si>
  <si>
    <t>Steven Spielberg</t>
  </si>
  <si>
    <t>Tom Hanks</t>
  </si>
  <si>
    <t>Mark Rylance</t>
  </si>
  <si>
    <t>Amy Ryan</t>
  </si>
  <si>
    <t>Alan Alda</t>
  </si>
  <si>
    <t>Austin Stowell</t>
  </si>
  <si>
    <t>Brooklyn</t>
  </si>
  <si>
    <t>https://en.wikipedia.org/wiki/Brooklyn_(film)</t>
  </si>
  <si>
    <t>John Crowley</t>
  </si>
  <si>
    <t>Saoirse Ronan</t>
  </si>
  <si>
    <t>Emory Cohen</t>
  </si>
  <si>
    <t>Domhnall Gleeson</t>
  </si>
  <si>
    <t>Jim Broadbent</t>
  </si>
  <si>
    <t>Julie Walters</t>
  </si>
  <si>
    <t>Bullet to the Head</t>
  </si>
  <si>
    <t>https://en.wikipedia.org/wiki/Bullet_to_the_Head</t>
  </si>
  <si>
    <t>Walter Hill</t>
  </si>
  <si>
    <t>Sylvester Stallone</t>
  </si>
  <si>
    <t>Sung Kang</t>
  </si>
  <si>
    <t>Sarah Shahi</t>
  </si>
  <si>
    <t>Adewale Akinnuoye-Agbaje</t>
  </si>
  <si>
    <t>Religious Slater</t>
  </si>
  <si>
    <t>Burnt</t>
  </si>
  <si>
    <t>https://en.wikipedia.org/wiki/Burnt_(film)</t>
  </si>
  <si>
    <t>John Wells</t>
  </si>
  <si>
    <t>Jamie Dornan</t>
  </si>
  <si>
    <t>Daniel Brühl</t>
  </si>
  <si>
    <t>By the Sea</t>
  </si>
  <si>
    <t>https://en.wikipedia.org/wiki/By_the_Sea_(2015_film)</t>
  </si>
  <si>
    <t>Angelina Jolie</t>
  </si>
  <si>
    <t>Brad Pitt</t>
  </si>
  <si>
    <t>Mélanie Laurent</t>
  </si>
  <si>
    <t>Niels Arestrup</t>
  </si>
  <si>
    <t>Melvil Poupaud</t>
  </si>
  <si>
    <t>Captain America: The Winter Soldier</t>
  </si>
  <si>
    <t>https://en.wikipedia.org/wiki/Captain_America:_The_Winter_Soldier</t>
  </si>
  <si>
    <t>Joe Russo</t>
  </si>
  <si>
    <t>Chris Evans</t>
  </si>
  <si>
    <t>Scarlett Johansson</t>
  </si>
  <si>
    <t>Sebastian Stan</t>
  </si>
  <si>
    <t>Cobie Smulders</t>
  </si>
  <si>
    <t>Captive</t>
  </si>
  <si>
    <t>https://en.wikipedia.org/wiki/Captive_(2015_film)</t>
  </si>
  <si>
    <t>Jerry Jameson</t>
  </si>
  <si>
    <t>Kate Mara</t>
  </si>
  <si>
    <t>Michael K. Williams</t>
  </si>
  <si>
    <t>Leonor Varela</t>
  </si>
  <si>
    <t>Jessica Oyelowo</t>
  </si>
  <si>
    <t>Carol</t>
  </si>
  <si>
    <t>https://en.wikipedia.org/wiki/Carol_(film)</t>
  </si>
  <si>
    <t>Todd Haynes</t>
  </si>
  <si>
    <t>Sarah Paulson</t>
  </si>
  <si>
    <t>Kyle Chandler</t>
  </si>
  <si>
    <t>Jake Lacy</t>
  </si>
  <si>
    <t>Central Intelligence</t>
  </si>
  <si>
    <t>https://en.wikipedia.org/wiki/Central_Intelligence</t>
  </si>
  <si>
    <t>Rawson Marshall Thurber</t>
  </si>
  <si>
    <t>Dwayne Johnson</t>
  </si>
  <si>
    <t>Kevin Hart</t>
  </si>
  <si>
    <t>Cesar Chavez</t>
  </si>
  <si>
    <t>https://en.wikipedia.org/wiki/Cesar_Chavez_(film)</t>
  </si>
  <si>
    <t>Diego Luna</t>
  </si>
  <si>
    <t>America Ferrera</t>
  </si>
  <si>
    <t>Rosario Dawson</t>
  </si>
  <si>
    <t>John Malkovich</t>
  </si>
  <si>
    <t>Chappie</t>
  </si>
  <si>
    <t>https://en.wikipedia.org/wiki/Chappie_(film)</t>
  </si>
  <si>
    <t>Neill Blomkamp</t>
  </si>
  <si>
    <t>Sharlto Copley</t>
  </si>
  <si>
    <t>Ninja</t>
  </si>
  <si>
    <t>Yolandi Visser</t>
  </si>
  <si>
    <t>Dev Patel</t>
  </si>
  <si>
    <t>Hugh Jackman</t>
  </si>
  <si>
    <t>Chasing Mavericks</t>
  </si>
  <si>
    <t>https://en.wikipedia.org/wiki/Chasing_Mavericks</t>
  </si>
  <si>
    <t>Curtis Hanson</t>
  </si>
  <si>
    <t>Michael Apted</t>
  </si>
  <si>
    <t>Gerard Butler</t>
  </si>
  <si>
    <t>Jonny Weston</t>
  </si>
  <si>
    <t>Elisabeth Shue</t>
  </si>
  <si>
    <t>Abigail Spencer</t>
  </si>
  <si>
    <t>Chef</t>
  </si>
  <si>
    <t>https://en.wikipedia.org/wiki/Chef_(film)</t>
  </si>
  <si>
    <t>Jon Favreau</t>
  </si>
  <si>
    <t>Sofía Vergara</t>
  </si>
  <si>
    <t>Robert Downey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</si>
  <si>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</si>
  <si>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</si>
  <si>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</si>
  <si>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</si>
  <si>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</si>
  <si>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</si>
  <si>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</si>
  <si>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</si>
  <si>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Child 44</t>
  </si>
  <si>
    <t>https://en.wikipedia.org/wiki/Child_44_(film)</t>
  </si>
  <si>
    <t>Daniel Espinosa</t>
  </si>
  <si>
    <t>Tom Hardy</t>
  </si>
  <si>
    <t>Gary Oldman</t>
  </si>
  <si>
    <t>Joel Kinnaman</t>
  </si>
  <si>
    <t>Noomi Rapace</t>
  </si>
  <si>
    <t>Jason Clarke</t>
  </si>
  <si>
    <t>Chronicle</t>
  </si>
  <si>
    <t>https://en.wikipedia.org/wiki/Chronicle_(film)</t>
  </si>
  <si>
    <t>Josh Trank</t>
  </si>
  <si>
    <t>Dane DeHaan</t>
  </si>
  <si>
    <t>Michael B. Jordan</t>
  </si>
  <si>
    <t>Alex Russell</t>
  </si>
  <si>
    <t>Michael Kelly</t>
  </si>
  <si>
    <t>Cloud Atlas</t>
  </si>
  <si>
    <t>https://en.wikipedia.org/wiki/Cloud_Atlas_(film)</t>
  </si>
  <si>
    <t>Tom Tykwer</t>
  </si>
  <si>
    <t>Andy Wachowski</t>
  </si>
  <si>
    <t>Jim Sturgess</t>
  </si>
  <si>
    <t>David Gyasi</t>
  </si>
  <si>
    <t>Ben Whishaw</t>
  </si>
  <si>
    <t>Cloudy with a Chance of Meatballs 2</t>
  </si>
  <si>
    <t>https://en.wikipedia.org/wiki/Cloudy_with_a_Chance_of_Meatballs_2</t>
  </si>
  <si>
    <t>Cody Cameron</t>
  </si>
  <si>
    <t>Kris Pearn</t>
  </si>
  <si>
    <t>Anna Faris</t>
  </si>
  <si>
    <t>Bill Hader</t>
  </si>
  <si>
    <t>Andy Samberg</t>
  </si>
  <si>
    <t>Kristen Schaal</t>
  </si>
  <si>
    <t>James Caan</t>
  </si>
  <si>
    <t>Concussion</t>
  </si>
  <si>
    <t>https://en.wikipedia.org/wiki/Concussion_(2015_film)</t>
  </si>
  <si>
    <t>Peter Landesman</t>
  </si>
  <si>
    <t>Paul Reiser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</si>
  <si>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</si>
  <si>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</si>
  <si>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</si>
  <si>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</si>
  <si>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</si>
  <si>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</si>
  <si>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Criminal</t>
  </si>
  <si>
    <t>https://en.wikipedia.org/wiki/Criminal_(2016_film)</t>
  </si>
  <si>
    <t>Ariel Vromen</t>
  </si>
  <si>
    <t>Kevin Costner</t>
  </si>
  <si>
    <t>Tommy Lee Jones</t>
  </si>
  <si>
    <t>Alice Eve</t>
  </si>
  <si>
    <t>Gal Gadot</t>
  </si>
  <si>
    <t>Crimson Peak</t>
  </si>
  <si>
    <t>https://en.wikipedia.org/wiki/Crimson_Peak</t>
  </si>
  <si>
    <t>Guillermo del Toro</t>
  </si>
  <si>
    <t>Mia Wasikowska</t>
  </si>
  <si>
    <t>Tom Hiddleston</t>
  </si>
  <si>
    <t>Charlie Hunnam</t>
  </si>
  <si>
    <t>Jim Beaver</t>
  </si>
  <si>
    <t>Daddy's Home</t>
  </si>
  <si>
    <t>https://en.wikipedia.org/wiki/Daddy%2527s_Home_(film)</t>
  </si>
  <si>
    <t>Sean Anders</t>
  </si>
  <si>
    <t>John Morris</t>
  </si>
  <si>
    <t>Will Ferrell</t>
  </si>
  <si>
    <t>Linda Cardellini</t>
  </si>
  <si>
    <t>Danny Collins</t>
  </si>
  <si>
    <t>https://en.wikipedia.org/wiki/Danny_Collins_(film)</t>
  </si>
  <si>
    <t>Dan Fogelman</t>
  </si>
  <si>
    <t>Al Pacino</t>
  </si>
  <si>
    <t>Annette Bening</t>
  </si>
  <si>
    <t>Jennifer Garner</t>
  </si>
  <si>
    <t>Christopher Plummer</t>
  </si>
  <si>
    <t>Dark Shadows</t>
  </si>
  <si>
    <t>https://en.wikipedia.org/wiki/Dark_Shadows_(film)</t>
  </si>
  <si>
    <t>Michelle Pfeiffer</t>
  </si>
  <si>
    <t>Helena Bonham Carter</t>
  </si>
  <si>
    <t>Jackie Earle Haley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</si>
  <si>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</si>
  <si>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</si>
  <si>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</si>
  <si>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</si>
  <si>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</si>
  <si>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</si>
  <si>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Dawn of the Planet of the Apes</t>
  </si>
  <si>
    <t>https://en.wikipedia.org/wiki/Dawn_of_the_Planet_of_the_Apes</t>
  </si>
  <si>
    <t>Matt Reeves</t>
  </si>
  <si>
    <t>Andy Serkis</t>
  </si>
  <si>
    <t>Kodi Smit-McPhee</t>
  </si>
  <si>
    <t>Dead Man Down</t>
  </si>
  <si>
    <t>https://en.wikipedia.org/wiki/Dead_Man_Down</t>
  </si>
  <si>
    <t>Niels Arden Oplev</t>
  </si>
  <si>
    <t>Colin Farrell</t>
  </si>
  <si>
    <t>Terrence Howard</t>
  </si>
  <si>
    <t>Wade Barrett</t>
  </si>
  <si>
    <t>Deadpool</t>
  </si>
  <si>
    <t>https://en.wikipedia.org/wiki/Deadpool_(film)</t>
  </si>
  <si>
    <t>Ryan Reynolds</t>
  </si>
  <si>
    <t>Gina Carano</t>
  </si>
  <si>
    <t>T. J. Miller</t>
  </si>
  <si>
    <t>Ed Skrein</t>
  </si>
  <si>
    <t>Morena Baccarin</t>
  </si>
  <si>
    <t>Declaration of War</t>
  </si>
  <si>
    <t>https://en.wikipedia.org/wiki/Declaration_of_War_(film)</t>
  </si>
  <si>
    <t>Valérie Donzelli</t>
  </si>
  <si>
    <t>Valérie Donzelli (director)</t>
  </si>
  <si>
    <t>Deliver Us from Evil</t>
  </si>
  <si>
    <t>https://en.wikipedia.org/wiki/Deliver_Us_from_Evil_(2014_film)</t>
  </si>
  <si>
    <t>Scott Derrickson</t>
  </si>
  <si>
    <t>Paul Harris</t>
  </si>
  <si>
    <t>Eric Bana</t>
  </si>
  <si>
    <t>Édgar Ramírez</t>
  </si>
  <si>
    <t>Olivia Munn</t>
  </si>
  <si>
    <t>Joel McHale</t>
  </si>
  <si>
    <t>Despicable Me 2</t>
  </si>
  <si>
    <t>https://en.wikipedia.org/wiki/Despicable_Me_2</t>
  </si>
  <si>
    <t>Pierre Coffin</t>
  </si>
  <si>
    <t>Steve Carell</t>
  </si>
  <si>
    <t>Kristen Wiig</t>
  </si>
  <si>
    <t>Miranda Cosgrove</t>
  </si>
  <si>
    <t>Dana Gaier</t>
  </si>
  <si>
    <t>Elsie Fisher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</si>
  <si>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</si>
  <si>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</si>
  <si>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</si>
  <si>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</si>
  <si>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</si>
  <si>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</si>
  <si>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</si>
  <si>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</si>
  <si>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</si>
  <si>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</si>
  <si>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</si>
  <si>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</si>
  <si>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</si>
  <si>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</si>
  <si>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</si>
  <si>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</si>
  <si>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</si>
  <si>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Divergent</t>
  </si>
  <si>
    <t>https://en.wikipedia.org/wiki/Divergent_(film)</t>
  </si>
  <si>
    <t>Neil Burger</t>
  </si>
  <si>
    <t>Shailene Woodley</t>
  </si>
  <si>
    <t>Kate Winslet</t>
  </si>
  <si>
    <t>Theo James</t>
  </si>
  <si>
    <t>Ansel Elgort</t>
  </si>
  <si>
    <t>Zoë Kravitz</t>
  </si>
  <si>
    <t>Django Unchained</t>
  </si>
  <si>
    <t>https://en.wikipedia.org/wiki/Django_Unchained</t>
  </si>
  <si>
    <t>Quentin Tarantino</t>
  </si>
  <si>
    <t>Leonardo DiCaprio</t>
  </si>
  <si>
    <t>Samuel L. Jackson</t>
  </si>
  <si>
    <t>Bruce Dern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</si>
  <si>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</si>
  <si>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</si>
  <si>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</si>
  <si>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</si>
  <si>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</si>
  <si>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</si>
  <si>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</si>
  <si>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Jr.</t>
  </si>
  <si>
    <t>Don't Breathe</t>
  </si>
  <si>
    <t>https://en.wikipedia.org/wiki/Don%2527t_Breathe_(2016_film)</t>
  </si>
  <si>
    <t>Fede Alvarez</t>
  </si>
  <si>
    <t>Dylan Minnette</t>
  </si>
  <si>
    <t>Stephen Lang</t>
  </si>
  <si>
    <t>Daniel Zovatto</t>
  </si>
  <si>
    <t>Dr. Seuss' The Lorax</t>
  </si>
  <si>
    <t>https://en.wikipedia.org/wiki/The_Lorax_(film)</t>
  </si>
  <si>
    <t>Danny DeVito</t>
  </si>
  <si>
    <t>Zac Efron</t>
  </si>
  <si>
    <t>Taylor Swift</t>
  </si>
  <si>
    <t>Ed Helms</t>
  </si>
  <si>
    <t>Dracula Untold</t>
  </si>
  <si>
    <t>https://en.wikipedia.org/wiki/Dracula_Untold</t>
  </si>
  <si>
    <t>Gary Shore</t>
  </si>
  <si>
    <t>Luke Evans</t>
  </si>
  <si>
    <t>Sarah Gadon</t>
  </si>
  <si>
    <t>William Houston</t>
  </si>
  <si>
    <t>Samantha Barks</t>
  </si>
  <si>
    <t>Draft Day</t>
  </si>
  <si>
    <t>https://en.wikipedia.org/wiki/Draft_Day</t>
  </si>
  <si>
    <t>Ivan Reitman</t>
  </si>
  <si>
    <t>Denis Leary</t>
  </si>
  <si>
    <t>Frank Langella</t>
  </si>
  <si>
    <t>Tom Welling</t>
  </si>
  <si>
    <t>Dragon Blade</t>
  </si>
  <si>
    <t>https://en.wikipedia.org/wiki/Dragon_Blade_(film)</t>
  </si>
  <si>
    <t>Daniel Lee</t>
  </si>
  <si>
    <t>Jackie Chan</t>
  </si>
  <si>
    <t>Choi Siwon</t>
  </si>
  <si>
    <t>John Cusack</t>
  </si>
  <si>
    <t>Adrien Brody</t>
  </si>
  <si>
    <t>James Lee Guy</t>
  </si>
  <si>
    <t>Dumb and Dumber To</t>
  </si>
  <si>
    <t>https://en.wikipedia.org/wiki/Dumb_and_Dumber_To</t>
  </si>
  <si>
    <t>Peter Farrelly</t>
  </si>
  <si>
    <t>Bobby Farrelly</t>
  </si>
  <si>
    <t>Jim Carrey</t>
  </si>
  <si>
    <t>Jeff Daniels</t>
  </si>
  <si>
    <t>Kathleen Turner</t>
  </si>
  <si>
    <t>Laurie Holden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</si>
  <si>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</si>
  <si>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</si>
  <si>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</si>
  <si>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</si>
  <si>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</si>
  <si>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</si>
  <si>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</si>
  <si>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Eddie the Eagle</t>
  </si>
  <si>
    <t>https://en.wikipedia.org/wiki/Eddie_the_Eagle_(film)</t>
  </si>
  <si>
    <t>Dexter Fletcher</t>
  </si>
  <si>
    <t>Taron Egerton</t>
  </si>
  <si>
    <t>Christopher Walken</t>
  </si>
  <si>
    <t>Edge of Tomorrow</t>
  </si>
  <si>
    <t>https://en.wikipedia.org/wiki/Edge_of_Tomorrow_(film)</t>
  </si>
  <si>
    <t>Doug Liman</t>
  </si>
  <si>
    <t>Tom Cruise</t>
  </si>
  <si>
    <t>Emily Blunt</t>
  </si>
  <si>
    <t>Elysium</t>
  </si>
  <si>
    <t>https://en.wikipedia.org/wiki/Elysium_(film)</t>
  </si>
  <si>
    <t>Matt Damon</t>
  </si>
  <si>
    <t>Jodie Foster</t>
  </si>
  <si>
    <t>Wagner Moura</t>
  </si>
  <si>
    <t>Alice Braga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</si>
  <si>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</si>
  <si>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</si>
  <si>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</si>
  <si>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</si>
  <si>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</si>
  <si>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</si>
  <si>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End of Watch</t>
  </si>
  <si>
    <t>https://en.wikipedia.org/wiki/End_of_Watch</t>
  </si>
  <si>
    <t>David Ayer</t>
  </si>
  <si>
    <t>Jake Gyllenhaal</t>
  </si>
  <si>
    <t>Anna Kendrick</t>
  </si>
  <si>
    <t>Frank Grillo</t>
  </si>
  <si>
    <t>Enough Said</t>
  </si>
  <si>
    <t>https://en.wikipedia.org/wiki/Enough_Said_(film)</t>
  </si>
  <si>
    <t>Nicole Holofcener</t>
  </si>
  <si>
    <t>James Gandolfini</t>
  </si>
  <si>
    <t>Julia Louis-Dreyfus</t>
  </si>
  <si>
    <t>Catherine Keener</t>
  </si>
  <si>
    <t>Ben Falcone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</si>
  <si>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</si>
  <si>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</si>
  <si>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</si>
  <si>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</si>
  <si>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</si>
  <si>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</si>
  <si>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Jerry Ferrara</t>
  </si>
  <si>
    <t>Jeremy Piven</t>
  </si>
  <si>
    <t>Epic</t>
  </si>
  <si>
    <t>https://en.wikipedia.org/wiki/Epic_(2013_film)</t>
  </si>
  <si>
    <t>Chris Wedge</t>
  </si>
  <si>
    <t>Josh Hutcherson</t>
  </si>
  <si>
    <t>Amanda Seyfried</t>
  </si>
  <si>
    <t>Jason Sudeikis</t>
  </si>
  <si>
    <t>Escape from Planet Earth</t>
  </si>
  <si>
    <t>https://en.wikipedia.org/wiki/Escape_from_Planet_Earth</t>
  </si>
  <si>
    <t>Cal Brunker</t>
  </si>
  <si>
    <t>Brendan Fraser</t>
  </si>
  <si>
    <t>Rob Corddry</t>
  </si>
  <si>
    <t>Jessica Alba</t>
  </si>
  <si>
    <t>William Shatner</t>
  </si>
  <si>
    <t>Sarah Jessica Parker</t>
  </si>
  <si>
    <t>Evil Dead</t>
  </si>
  <si>
    <t>https://en.wikipedia.org/wiki/Evil_Dead_(2013_film)</t>
  </si>
  <si>
    <t>Jane Levy</t>
  </si>
  <si>
    <t>Shiloh Fernandez</t>
  </si>
  <si>
    <t>Lou Taylor Pucci</t>
  </si>
  <si>
    <t>Jessica Lucas</t>
  </si>
  <si>
    <t>Elizabeth Blackmore</t>
  </si>
  <si>
    <t>Ex Machina</t>
  </si>
  <si>
    <t>https://en.wikipedia.org/wiki/Ex_Machina_(film)</t>
  </si>
  <si>
    <t>Alex Garland</t>
  </si>
  <si>
    <t>Alicia Vikander</t>
  </si>
  <si>
    <t>Eye in the Sky</t>
  </si>
  <si>
    <t>https://en.wikipedia.org/wiki/Eye_in_the_Sky_(2015_film)</t>
  </si>
  <si>
    <t>Gavin Hood</t>
  </si>
  <si>
    <t>Helen Mirren</t>
  </si>
  <si>
    <t>Alan Rickman</t>
  </si>
  <si>
    <t>Barkhad Abdi</t>
  </si>
  <si>
    <t>Fantastic Four</t>
  </si>
  <si>
    <t>https://en.wikipedia.org/wiki/Fantastic_Four_(2015_film)</t>
  </si>
  <si>
    <t>Miles Teller</t>
  </si>
  <si>
    <t>Jamie Bell</t>
  </si>
  <si>
    <t>Fast &amp; Furious 6</t>
  </si>
  <si>
    <t>https://en.wikipedia.org/wiki/Fast_%2526_Furious_6</t>
  </si>
  <si>
    <t>Justin Lin</t>
  </si>
  <si>
    <t>Vin Diesel</t>
  </si>
  <si>
    <t>Michelle Rodriguez</t>
  </si>
  <si>
    <t>Jordana Brewster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</si>
  <si>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</si>
  <si>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</si>
  <si>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</si>
  <si>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</si>
  <si>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</si>
  <si>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</si>
  <si>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Florence Foster Jenkins</t>
  </si>
  <si>
    <t>https://en.wikipedia.org/wiki/Florence_Foster_Jenkins_(film)</t>
  </si>
  <si>
    <t>Stephen Frears</t>
  </si>
  <si>
    <t>Meryl Streep</t>
  </si>
  <si>
    <t>Hugh Grant</t>
  </si>
  <si>
    <t>Simon Helberg</t>
  </si>
  <si>
    <t>Nina Arianda</t>
  </si>
  <si>
    <t>Rebecca Ferguson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</si>
  <si>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</si>
  <si>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</si>
  <si>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</si>
  <si>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</si>
  <si>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</si>
  <si>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</si>
  <si>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</si>
  <si>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</si>
  <si>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Free State of Jones</t>
  </si>
  <si>
    <t>https://en.wikipedia.org/wiki/Free_State_of_Jones_(film)</t>
  </si>
  <si>
    <t>Gary Ross</t>
  </si>
  <si>
    <t>Matthew McConaughey</t>
  </si>
  <si>
    <t>Mahershala Ali</t>
  </si>
  <si>
    <t>Friends with Kids</t>
  </si>
  <si>
    <t>https://en.wikipedia.org/wiki/Friends_with_Kids</t>
  </si>
  <si>
    <t>Jennifer Westfeldt</t>
  </si>
  <si>
    <t>Adam Scott</t>
  </si>
  <si>
    <t>Jon Hamm</t>
  </si>
  <si>
    <t>Maya Rudolph</t>
  </si>
  <si>
    <t>Fun Size</t>
  </si>
  <si>
    <t>https://en.wikipedia.org/wiki/Fun_Size</t>
  </si>
  <si>
    <t>Josh Schwartz</t>
  </si>
  <si>
    <t>Victoria Justice</t>
  </si>
  <si>
    <t>Thomas McDonell</t>
  </si>
  <si>
    <t>Thomas Mann</t>
  </si>
  <si>
    <t>Chelsea Handler</t>
  </si>
  <si>
    <t>Fury</t>
  </si>
  <si>
    <t>https://en.wikipedia.org/wiki/Fury_(2014_film)</t>
  </si>
  <si>
    <t>Shia LaBeouf</t>
  </si>
  <si>
    <t>Logan Lerman</t>
  </si>
  <si>
    <t>Jon Bernthal</t>
  </si>
  <si>
    <t>G.I. Joe: Retaliation</t>
  </si>
  <si>
    <t>https://en.wikipedia.org/wiki/G.I._Joe:_Retaliation</t>
  </si>
  <si>
    <t>Jon Chu</t>
  </si>
  <si>
    <t>Ray Park</t>
  </si>
  <si>
    <t>Elodie Yung</t>
  </si>
  <si>
    <t>Gangster Squad</t>
  </si>
  <si>
    <t>https://en.wikipedia.org/wiki/Gangster_Squad</t>
  </si>
  <si>
    <t>Ruben Fleischer</t>
  </si>
  <si>
    <t>Ryan Gosling</t>
  </si>
  <si>
    <t>Sean Penn</t>
  </si>
  <si>
    <t>Josh Brolin</t>
  </si>
  <si>
    <t>Robert Patrick</t>
  </si>
  <si>
    <t>Get Hard</t>
  </si>
  <si>
    <t>https://en.wikipedia.org/wiki/Get_Hard</t>
  </si>
  <si>
    <t>Etan Cohen</t>
  </si>
  <si>
    <t>Alison Brie</t>
  </si>
  <si>
    <t>Craig T. Nelson</t>
  </si>
  <si>
    <t>T.I.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</si>
  <si>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</si>
  <si>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</si>
  <si>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</si>
  <si>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</si>
  <si>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</si>
  <si>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</si>
  <si>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Tika Sumpter</t>
  </si>
  <si>
    <t>Getaway</t>
  </si>
  <si>
    <t>https://en.wikipedia.org/wiki/Getaway_(film)</t>
  </si>
  <si>
    <t>Courtney Solomon</t>
  </si>
  <si>
    <t>Yaron Levy</t>
  </si>
  <si>
    <t>Selena Gomez</t>
  </si>
  <si>
    <t>Jon Voight</t>
  </si>
  <si>
    <t>James Maslow</t>
  </si>
  <si>
    <t>Ghost Rider: Spirit of Vengeance</t>
  </si>
  <si>
    <t>https://en.wikipedia.org/wiki/Ghost_Rider:_Spirit_of_Vengeance</t>
  </si>
  <si>
    <t>Mark Neveldine</t>
  </si>
  <si>
    <t>Brian Taylor</t>
  </si>
  <si>
    <t>Nicolas Cage</t>
  </si>
  <si>
    <t>Idris Elba</t>
  </si>
  <si>
    <t>Fergus Riordan</t>
  </si>
  <si>
    <t>Ciarán Hinds</t>
  </si>
  <si>
    <t>Violante Placido</t>
  </si>
  <si>
    <t>Ghostbusters</t>
  </si>
  <si>
    <t>https://en.wikipedia.org/wiki/Ghostbusters_(2016_film)</t>
  </si>
  <si>
    <t>Paul Feig</t>
  </si>
  <si>
    <t>Melissa McCarthy</t>
  </si>
  <si>
    <t>Leslie Jones</t>
  </si>
  <si>
    <t>Kate McKinnon</t>
  </si>
  <si>
    <t>God's Not Dead</t>
  </si>
  <si>
    <t>https://en.wikipedia.org/wiki/God%2527s_Not_Dead_(film)</t>
  </si>
  <si>
    <t>Harold Cronk</t>
  </si>
  <si>
    <t>Willie Robertson</t>
  </si>
  <si>
    <t>David A. R. White</t>
  </si>
  <si>
    <t>Shane Harper</t>
  </si>
  <si>
    <t>Kevin Sorbo</t>
  </si>
  <si>
    <t>Korie Robertson</t>
  </si>
  <si>
    <t>God's Not Dead 2</t>
  </si>
  <si>
    <t>https://en.wikipedia.org/wiki/God%2527s_Not_Dead_2</t>
  </si>
  <si>
    <t>Melissa Joan Hart</t>
  </si>
  <si>
    <t>Robin Givens</t>
  </si>
  <si>
    <t>Ernie Hudson</t>
  </si>
  <si>
    <t>Gods of Egypt</t>
  </si>
  <si>
    <t>https://en.wikipedia.org/wiki/Gods_of_Egypt_(film)</t>
  </si>
  <si>
    <t>Alex Proyas</t>
  </si>
  <si>
    <t>Geoffrey Rush</t>
  </si>
  <si>
    <t>Brenton Thwaites</t>
  </si>
  <si>
    <t>Courtney Eaton</t>
  </si>
  <si>
    <t>Nikolaj Coster-Waldau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</si>
  <si>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</si>
  <si>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</si>
  <si>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</si>
  <si>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</si>
  <si>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</si>
  <si>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</si>
  <si>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</si>
  <si>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Gone Girl</t>
  </si>
  <si>
    <t>https://en.wikipedia.org/wiki/Gone_Girl_(film)</t>
  </si>
  <si>
    <t>David Fincher</t>
  </si>
  <si>
    <t>Rosamund Pike</t>
  </si>
  <si>
    <t>Neil Patrick Harris</t>
  </si>
  <si>
    <t>Kim Dickens</t>
  </si>
  <si>
    <t>Good Deeds</t>
  </si>
  <si>
    <t>https://en.wikipedia.org/wiki/Good_Deeds</t>
  </si>
  <si>
    <t>Thandie Newton</t>
  </si>
  <si>
    <t>Rebecca Romijn</t>
  </si>
  <si>
    <t>Brian J. White</t>
  </si>
  <si>
    <t>Jamie Kennedy</t>
  </si>
  <si>
    <t>Goosebumps</t>
  </si>
  <si>
    <t>https://en.wikipedia.org/wiki/Goosebumps_(film)</t>
  </si>
  <si>
    <t>Rob Letterman</t>
  </si>
  <si>
    <t>Jack Black</t>
  </si>
  <si>
    <t>Odeya Rush</t>
  </si>
  <si>
    <t>Ryan Lee</t>
  </si>
  <si>
    <t>Grown Ups 2</t>
  </si>
  <si>
    <t>https://en.wikipedia.org/wiki/Grown_Ups_2</t>
  </si>
  <si>
    <t>Dennis Dugan</t>
  </si>
  <si>
    <t>Kevin James</t>
  </si>
  <si>
    <t>Chris Rock</t>
  </si>
  <si>
    <t>David Spade</t>
  </si>
  <si>
    <t>Taylor Lautner</t>
  </si>
  <si>
    <t>Hail, Caesar!</t>
  </si>
  <si>
    <t>https://en.wikipedia.org/wiki/Hail,_Caesar!</t>
  </si>
  <si>
    <t>Joel and Ethan Coen</t>
  </si>
  <si>
    <t>George Clooney</t>
  </si>
  <si>
    <t>Alden Ehrenreich</t>
  </si>
  <si>
    <t>Ralph Fiennes</t>
  </si>
  <si>
    <t>Hands of Stone</t>
  </si>
  <si>
    <t>https://en.wikipedia.org/wiki/Hands_of_Stone</t>
  </si>
  <si>
    <t>Jonathan Jakubowicz</t>
  </si>
  <si>
    <t>Robert De Niro</t>
  </si>
  <si>
    <t>Usher</t>
  </si>
  <si>
    <t>Ellen Barkin</t>
  </si>
  <si>
    <t>Ana de Armas</t>
  </si>
  <si>
    <t>Hansel and Gretel: Witch Hunters</t>
  </si>
  <si>
    <t>https://en.wikipedia.org/wiki/Hansel_and_Gretel:_Witch_Hunters</t>
  </si>
  <si>
    <t>Tommy Wirkola</t>
  </si>
  <si>
    <t>Jeremy Renner</t>
  </si>
  <si>
    <t>Gemma Arterton</t>
  </si>
  <si>
    <t>Zoe Bell</t>
  </si>
  <si>
    <t>Famke Janssen</t>
  </si>
  <si>
    <t>Peter Stormare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</si>
  <si>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</si>
  <si>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</si>
  <si>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</si>
  <si>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</si>
  <si>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</si>
  <si>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</si>
  <si>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</si>
  <si>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</si>
  <si>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Here Comes the Boom</t>
  </si>
  <si>
    <t>https://en.wikipedia.org/wiki/Here_Comes_the_Boom</t>
  </si>
  <si>
    <t>Salma Hayek</t>
  </si>
  <si>
    <t>Henry Winkler</t>
  </si>
  <si>
    <t>Joe Rogan</t>
  </si>
  <si>
    <t>Hit and Run</t>
  </si>
  <si>
    <t>https://en.wikipedia.org/wiki/Hit_and_Run_(2012_film)</t>
  </si>
  <si>
    <t>Dax Shepard</t>
  </si>
  <si>
    <t>Tom Arnold</t>
  </si>
  <si>
    <t>Kristin Chenoweth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</si>
  <si>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</si>
  <si>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</si>
  <si>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</si>
  <si>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</si>
  <si>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</si>
  <si>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</si>
  <si>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</si>
  <si>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Home</t>
  </si>
  <si>
    <t>https://en.wikipedia.org/wiki/Home_(2015_animated_film)</t>
  </si>
  <si>
    <t>Tim Johnson</t>
  </si>
  <si>
    <t>Jim Parsons</t>
  </si>
  <si>
    <t>Jennifer Lopez</t>
  </si>
  <si>
    <t>Steve Martin</t>
  </si>
  <si>
    <t>Matt Jones</t>
  </si>
  <si>
    <t>Hope Springs</t>
  </si>
  <si>
    <t>https://en.wikipedia.org/wiki/Hope_Springs_(2012_film)</t>
  </si>
  <si>
    <t>David Frankel</t>
  </si>
  <si>
    <t>Mimi Rogers</t>
  </si>
  <si>
    <t>Horrible Bosses 2</t>
  </si>
  <si>
    <t>https://en.wikipedia.org/wiki/Horrible_Bosses_2</t>
  </si>
  <si>
    <t>Jason Bateman</t>
  </si>
  <si>
    <t>Charlie Day</t>
  </si>
  <si>
    <t>Kevin Spacey</t>
  </si>
  <si>
    <t>Jennifer Aniston</t>
  </si>
  <si>
    <t>Hot Pursuit</t>
  </si>
  <si>
    <t>https://en.wikipedia.org/wiki/Hot_Pursuit_(2015_film)</t>
  </si>
  <si>
    <t>Anne Fletcher</t>
  </si>
  <si>
    <t>Reese Witherspoon</t>
  </si>
  <si>
    <t>Jim Gaffigan</t>
  </si>
  <si>
    <t>John Carroll Lynch</t>
  </si>
  <si>
    <t>Hotel Transylvania</t>
  </si>
  <si>
    <t>https://en.wikipedia.org/wiki/Hotel_Transylvania</t>
  </si>
  <si>
    <t>Genndy Tartakovsky</t>
  </si>
  <si>
    <t>Fran Drescher</t>
  </si>
  <si>
    <t>Hotel Transylvania 2</t>
  </si>
  <si>
    <t>https://en.wikipedia.org/wiki/Hotel_Transylvania_2</t>
  </si>
  <si>
    <t>Steve Buscemi</t>
  </si>
  <si>
    <t>How to Train Your Dragon 2</t>
  </si>
  <si>
    <t>https://en.wikipedia.org/wiki/How_to_Train_Your_Dragon_2</t>
  </si>
  <si>
    <t>Dean DeBlois</t>
  </si>
  <si>
    <t>Jay Baruchel</t>
  </si>
  <si>
    <t>Craig Ferguson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</si>
  <si>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</si>
  <si>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</si>
  <si>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</si>
  <si>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</si>
  <si>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</si>
  <si>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</si>
  <si>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</si>
  <si>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</si>
  <si>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I Saw the Light</t>
  </si>
  <si>
    <t>https://en.wikipedia.org/wiki/I_Saw_the_Light_(film)</t>
  </si>
  <si>
    <t xml:space="preserve">Marc Abraham </t>
  </si>
  <si>
    <t>Ice Age: Collision Course</t>
  </si>
  <si>
    <t>https://en.wikipedia.org/wiki/Ice_Age:_Collision_Course</t>
  </si>
  <si>
    <t>Mike Thurmeier</t>
  </si>
  <si>
    <t>Galen T. Chu</t>
  </si>
  <si>
    <t>Ray Romano</t>
  </si>
  <si>
    <t>Queen Latifah</t>
  </si>
  <si>
    <t>Ice Age: Continental Drift</t>
  </si>
  <si>
    <t>https://en.wikipedia.org/wiki/Ice_Age:_Continental_Drift</t>
  </si>
  <si>
    <t>Steve Martino</t>
  </si>
  <si>
    <t>Identity Thief</t>
  </si>
  <si>
    <t>https://en.wikipedia.org/wiki/Identity_Thief</t>
  </si>
  <si>
    <t>Seth Gordon</t>
  </si>
  <si>
    <t>Amanda Peet</t>
  </si>
  <si>
    <t>John Cho</t>
  </si>
  <si>
    <t>If I Stay</t>
  </si>
  <si>
    <t>https://en.wikipedia.org/wiki/If_I_Stay_(film)</t>
  </si>
  <si>
    <t>R. J. Cutler</t>
  </si>
  <si>
    <t>Chloë Grace Moretz</t>
  </si>
  <si>
    <t>Mireille Enos</t>
  </si>
  <si>
    <t>Lauren Lee Smith</t>
  </si>
  <si>
    <t>Liana Liberato</t>
  </si>
  <si>
    <t>Jamie Blackley</t>
  </si>
  <si>
    <t>In the Heart of the Sea</t>
  </si>
  <si>
    <t>https://en.wikipedia.org/wiki/In_the_Heart_of_the_Sea_(film)</t>
  </si>
  <si>
    <t>Ron Howard</t>
  </si>
  <si>
    <t>Cillian Murphy</t>
  </si>
  <si>
    <t>Tom Holland</t>
  </si>
  <si>
    <t>Independence Day: Resurgence</t>
  </si>
  <si>
    <t>https://en.wikipedia.org/wiki/Independence_Day:_Resurgence</t>
  </si>
  <si>
    <t>Roland Emmerich</t>
  </si>
  <si>
    <t>Jeff Goldblum</t>
  </si>
  <si>
    <t>Bill Pullman</t>
  </si>
  <si>
    <t>Sela Ward</t>
  </si>
  <si>
    <t>Liam Hemsworth</t>
  </si>
  <si>
    <t>Vivica A. Fox</t>
  </si>
  <si>
    <t>Insidious: Chapter 2</t>
  </si>
  <si>
    <t>https://en.wikipedia.org/wiki/Insidious:_Chapter_2</t>
  </si>
  <si>
    <t>James Wan</t>
  </si>
  <si>
    <t>Patrick Wilson</t>
  </si>
  <si>
    <t>Lin Shaye</t>
  </si>
  <si>
    <t>Ty Simpkins</t>
  </si>
  <si>
    <t>Insidious: Chapter 3</t>
  </si>
  <si>
    <t>https://en.wikipedia.org/wiki/Insidious:_Chapter_3</t>
  </si>
  <si>
    <t>Leigh Whannell</t>
  </si>
  <si>
    <t>Dermot Mulroney</t>
  </si>
  <si>
    <t>Stefanie Scott</t>
  </si>
  <si>
    <t>Angus Sampson</t>
  </si>
  <si>
    <t>Interstellar</t>
  </si>
  <si>
    <t>https://en.wikipedia.org/wiki/Interstellar_(film)</t>
  </si>
  <si>
    <t>Anne Hathaway</t>
  </si>
  <si>
    <t>Michael Caine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</si>
  <si>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</si>
  <si>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</si>
  <si>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</si>
  <si>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</si>
  <si>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</si>
  <si>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</si>
  <si>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</si>
  <si>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</si>
  <si>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</si>
  <si>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</si>
  <si>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</si>
  <si>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</si>
  <si>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</si>
  <si>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</si>
  <si>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</si>
  <si>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Irrational Man</t>
  </si>
  <si>
    <t>https://en.wikipedia.org/wiki/Irrational_Man_(film)</t>
  </si>
  <si>
    <t>Joaquin Phoenix</t>
  </si>
  <si>
    <t>Parker Posey</t>
  </si>
  <si>
    <t>Jack Reacher</t>
  </si>
  <si>
    <t>https://en.wikipedia.org/wiki/Jack_Reacher_(film)</t>
  </si>
  <si>
    <t>Christopher McQuarrie</t>
  </si>
  <si>
    <t>Richard Jenkins</t>
  </si>
  <si>
    <t>Alexia Fast</t>
  </si>
  <si>
    <t>Jack Ryan: Shadow Recruit</t>
  </si>
  <si>
    <t>https://en.wikipedia.org/wiki/Jack_Ryan:_Shadow_Recruit</t>
  </si>
  <si>
    <t>Kenneth Branagh</t>
  </si>
  <si>
    <t>David Koepp</t>
  </si>
  <si>
    <t>Adam Cozad</t>
  </si>
  <si>
    <t>Anthony Peckham</t>
  </si>
  <si>
    <t>Steve Zaillian</t>
  </si>
  <si>
    <t>Chris Pine</t>
  </si>
  <si>
    <t>Jane Got a Gun</t>
  </si>
  <si>
    <t>https://en.wikipedia.org/wiki/Jane_Got_a_Gun</t>
  </si>
  <si>
    <t>Gavin O'Connor</t>
  </si>
  <si>
    <t>Natalie Portman</t>
  </si>
  <si>
    <t>Ewan McGregor</t>
  </si>
  <si>
    <t>Noah Emmerich</t>
  </si>
  <si>
    <t>Jason Bourne</t>
  </si>
  <si>
    <t>https://en.wikipedia.org/wiki/Jason_Bourne_(film)</t>
  </si>
  <si>
    <t>Paul Greengrass</t>
  </si>
  <si>
    <t>Julia Stiles</t>
  </si>
  <si>
    <t>Riz Ahmed</t>
  </si>
  <si>
    <t>Vincent Cassel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</si>
  <si>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</si>
  <si>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</si>
  <si>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</si>
  <si>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</si>
  <si>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</si>
  <si>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</si>
  <si>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</si>
  <si>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</si>
  <si>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</si>
  <si>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</si>
  <si>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</si>
  <si>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</si>
  <si>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</si>
  <si>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Ryan Guzman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</si>
  <si>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</si>
  <si>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</si>
  <si>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</si>
  <si>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</si>
  <si>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</si>
  <si>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</si>
  <si>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</si>
  <si>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</si>
  <si>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</si>
  <si>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</si>
  <si>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</si>
  <si>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</si>
  <si>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</si>
  <si>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</si>
  <si>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</si>
  <si>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</si>
  <si>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</si>
  <si>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</si>
  <si>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</si>
  <si>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Journey 2: The Mysterious Island</t>
  </si>
  <si>
    <t>https://en.wikipedia.org/wiki/Journey_2:_The_Mysterious_Island</t>
  </si>
  <si>
    <t>Brad Peyton</t>
  </si>
  <si>
    <t>Vanessa Hudgens</t>
  </si>
  <si>
    <t>Luis Guzmán</t>
  </si>
  <si>
    <t>Joy</t>
  </si>
  <si>
    <t>https://en.wikipedia.org/wiki/Joy_(film)</t>
  </si>
  <si>
    <t>David O. Russell</t>
  </si>
  <si>
    <t>Jennifer Lawrence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</si>
  <si>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</si>
  <si>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</si>
  <si>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</si>
  <si>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</si>
  <si>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</si>
  <si>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</si>
  <si>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</si>
  <si>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</si>
  <si>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Kill the Messenger</t>
  </si>
  <si>
    <t>https://en.wikipedia.org/wiki/Kill_the_Messenger_(2014_film)</t>
  </si>
  <si>
    <t>Michael Cuesta</t>
  </si>
  <si>
    <t>Barry Pepper</t>
  </si>
  <si>
    <t>Rosemarie DeWitt</t>
  </si>
  <si>
    <t>Ray Liotta</t>
  </si>
  <si>
    <t>Killing Them Softly</t>
  </si>
  <si>
    <t>https://en.wikipedia.org/wiki/Killing_Them_Softly</t>
  </si>
  <si>
    <t>Andrew Dominik</t>
  </si>
  <si>
    <t>Vincent Curatola</t>
  </si>
  <si>
    <t>Scoot McNairy</t>
  </si>
  <si>
    <t>Ben Mendelsohn</t>
  </si>
  <si>
    <t>Kingsman: The Secret Service</t>
  </si>
  <si>
    <t>https://en.wikipedia.org/wiki/Kingsman:_The_Secret_Service</t>
  </si>
  <si>
    <t>Matthew Vaughn</t>
  </si>
  <si>
    <t>Krampus</t>
  </si>
  <si>
    <t>https://en.wikipedia.org/wiki/Krampus_(film)</t>
  </si>
  <si>
    <t>Michael Dougherty</t>
  </si>
  <si>
    <t>Emjay Anthony</t>
  </si>
  <si>
    <t>Allison Tolman</t>
  </si>
  <si>
    <t>Kubo and the Two Strings</t>
  </si>
  <si>
    <t>https://en.wikipedia.org/wiki/Kubo_and_the_Two_Strings</t>
  </si>
  <si>
    <t>Travis Knight</t>
  </si>
  <si>
    <t>Art Parkinson</t>
  </si>
  <si>
    <t>Charlize Theron</t>
  </si>
  <si>
    <t>Kung Fu Panda 3</t>
  </si>
  <si>
    <t>https://en.wikipedia.org/wiki/Kung_Fu_Panda_3</t>
  </si>
  <si>
    <t>Jennifer Yuh Nelson</t>
  </si>
  <si>
    <t>Alessandro Carloni</t>
  </si>
  <si>
    <t>Dustin Hoffman</t>
  </si>
  <si>
    <t>Seth Rogen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</si>
  <si>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</si>
  <si>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</si>
  <si>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</si>
  <si>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</si>
  <si>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</si>
  <si>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</si>
  <si>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</si>
  <si>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</si>
  <si>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</si>
  <si>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</si>
  <si>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</si>
  <si>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</si>
  <si>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</si>
  <si>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</si>
  <si>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</si>
  <si>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Les Misérables</t>
  </si>
  <si>
    <t>https://en.wikipedia.org/wiki/Les_Mis%25C3%25A9rables_(2012_film)</t>
  </si>
  <si>
    <t>Tom Hooper</t>
  </si>
  <si>
    <t>Russell Crowe</t>
  </si>
  <si>
    <t>Eddie Redmayne</t>
  </si>
  <si>
    <t>Colm Wilkinson</t>
  </si>
  <si>
    <t>Let's Be Cops</t>
  </si>
  <si>
    <t>https://en.wikipedia.org/wiki/Let%2527s_Be_Cops</t>
  </si>
  <si>
    <t>Luke Greenfield</t>
  </si>
  <si>
    <t>Jake Johnson</t>
  </si>
  <si>
    <t>Damon Wayans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</si>
  <si>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</si>
  <si>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</si>
  <si>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</si>
  <si>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</si>
  <si>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</si>
  <si>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</si>
  <si>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</si>
  <si>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Lights Out</t>
  </si>
  <si>
    <t>https://en.wikipedia.org/wiki/Lights_Out_(2016_film)</t>
  </si>
  <si>
    <t>David F. Sandberg</t>
  </si>
  <si>
    <t>Teresa Palmer</t>
  </si>
  <si>
    <t>Gabriel Bateman</t>
  </si>
  <si>
    <t>Alexander DiPersia</t>
  </si>
  <si>
    <t>Lincoln</t>
  </si>
  <si>
    <t>https://en.wikipedia.org/wiki/Lincoln_(2012_film)</t>
  </si>
  <si>
    <t>Daniel Day-Lewis</t>
  </si>
  <si>
    <t>David Strathairn</t>
  </si>
  <si>
    <t>Hal Holbrook</t>
  </si>
  <si>
    <t>Sally Field</t>
  </si>
  <si>
    <t>Joseph Gordon-Levitt</t>
  </si>
  <si>
    <t>Little Boy</t>
  </si>
  <si>
    <t>https://en.wikipedia.org/wiki/Little_Boy_(film)</t>
  </si>
  <si>
    <t>Alejandro Gómez Monteverde</t>
  </si>
  <si>
    <t>Jakob Salvati</t>
  </si>
  <si>
    <t>David Henrie</t>
  </si>
  <si>
    <t>Emily Watson</t>
  </si>
  <si>
    <t>Ted Levine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</si>
  <si>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</si>
  <si>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</si>
  <si>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</si>
  <si>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</si>
  <si>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</si>
  <si>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</si>
  <si>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Lennie James</t>
  </si>
  <si>
    <t>Vincent Regan</t>
  </si>
  <si>
    <t>London Has Fallen</t>
  </si>
  <si>
    <t>https://en.wikipedia.org/wiki/London_Has_Fallen</t>
  </si>
  <si>
    <t>Babak Najafi</t>
  </si>
  <si>
    <t>Aaron Eckhart</t>
  </si>
  <si>
    <t>Angela Bassett</t>
  </si>
  <si>
    <t>Alon Aboutboul</t>
  </si>
  <si>
    <t>Looper</t>
  </si>
  <si>
    <t>https://en.wikipedia.org/wiki/Looper_(film)</t>
  </si>
  <si>
    <t>Rian Johnson</t>
  </si>
  <si>
    <t>Paul Dano</t>
  </si>
  <si>
    <t>Noah Segan</t>
  </si>
  <si>
    <t>Love the Coopers</t>
  </si>
  <si>
    <t>https://en.wikipedia.org/wiki/Love_the_Coopers</t>
  </si>
  <si>
    <t>Jessie Nelson</t>
  </si>
  <si>
    <t>Diane Keaton</t>
  </si>
  <si>
    <t>Olivia Wilde</t>
  </si>
  <si>
    <t>Lucy</t>
  </si>
  <si>
    <t>https://en.wikipedia.org/wiki/Lucy_(2014_film)</t>
  </si>
  <si>
    <t>Luc Besson</t>
  </si>
  <si>
    <t>Choi Min-sik</t>
  </si>
  <si>
    <t>Mad Max: Fury Road</t>
  </si>
  <si>
    <t>https://en.wikipedia.org/wiki/Mad_Max:_Fury_Road</t>
  </si>
  <si>
    <t>George Miller</t>
  </si>
  <si>
    <t>Hugh Keays-Byrne</t>
  </si>
  <si>
    <t>Nicholas Hoult</t>
  </si>
  <si>
    <t>Rosie Huntington-Whiteley</t>
  </si>
  <si>
    <t>Madagascar 3: Europe's Most Wanted</t>
  </si>
  <si>
    <t>https://en.wikipedia.org/wiki/Madagascar_3:_Europe%2527s_Most_Wanted</t>
  </si>
  <si>
    <t>Noah Baumbach(screenplay); Ben Stiller</t>
  </si>
  <si>
    <t>David Schwimmer</t>
  </si>
  <si>
    <t>Sacha Baron Cohen</t>
  </si>
  <si>
    <t>Magic in the Moonlight</t>
  </si>
  <si>
    <t>https://en.wikipedia.org/wiki/Magic_in_the_Moonlight</t>
  </si>
  <si>
    <t>Hamish Linklater</t>
  </si>
  <si>
    <t>Marcia Gay Harden</t>
  </si>
  <si>
    <t>Jacki Weaver</t>
  </si>
  <si>
    <t>Mama</t>
  </si>
  <si>
    <t>https://en.wikipedia.org/wiki/Mama_(2013_film)</t>
  </si>
  <si>
    <t>Andres Muschietti</t>
  </si>
  <si>
    <t>Daniel Kash</t>
  </si>
  <si>
    <t>David Fox</t>
  </si>
  <si>
    <t>Man of Steel</t>
  </si>
  <si>
    <t>https://en.wikipedia.org/wiki/Man_of_Steel_(film)</t>
  </si>
  <si>
    <t>Michael Shannon</t>
  </si>
  <si>
    <t>Man on a Ledge</t>
  </si>
  <si>
    <t>https://en.wikipedia.org/wiki/Man_on_a_Ledge</t>
  </si>
  <si>
    <t>Asger Leth</t>
  </si>
  <si>
    <t>Sam Worthington</t>
  </si>
  <si>
    <t>Ed Harris</t>
  </si>
  <si>
    <t>Elizabeth Banks</t>
  </si>
  <si>
    <t>Kyra Sedgwick</t>
  </si>
  <si>
    <t>Max</t>
  </si>
  <si>
    <t>https://en.wikipedia.org/wiki/Max_(2015_film)</t>
  </si>
  <si>
    <t>Boaz Yakin</t>
  </si>
  <si>
    <t>Josh Wiggins</t>
  </si>
  <si>
    <t>Lauren Graham</t>
  </si>
  <si>
    <t>Maze Runner: The Scorch Trials</t>
  </si>
  <si>
    <t>https://en.wikipedia.org/wiki/Maze_Runner:_The_Scorch_Trials</t>
  </si>
  <si>
    <t>Wes Ball</t>
  </si>
  <si>
    <t>Dylan O'Brien</t>
  </si>
  <si>
    <t>Ki Hong Lee</t>
  </si>
  <si>
    <t>Thomas Sangster</t>
  </si>
  <si>
    <t>Kaya Scodelario</t>
  </si>
  <si>
    <t>Patricia Clarkson</t>
  </si>
  <si>
    <t>Me and Earl and the Dying Girl</t>
  </si>
  <si>
    <t>https://en.wikipedia.org/wiki/Me_and_Earl_and_the_Dying_Girl_(film)</t>
  </si>
  <si>
    <t>Alfonso Gomez-Rejon</t>
  </si>
  <si>
    <t>Olivia Cooke</t>
  </si>
  <si>
    <t>Ronald Cyler II</t>
  </si>
  <si>
    <t>Nick Offerman</t>
  </si>
  <si>
    <t>Me Before You</t>
  </si>
  <si>
    <t>https://en.wikipedia.org/wiki/Me_Before_You_(film)</t>
  </si>
  <si>
    <t>Thea Sharrock</t>
  </si>
  <si>
    <t>Emilia Clarke</t>
  </si>
  <si>
    <t>Sam Claflin</t>
  </si>
  <si>
    <t>Charles Dance</t>
  </si>
  <si>
    <t>Jenna Coleman</t>
  </si>
  <si>
    <t>Janet McTeer</t>
  </si>
  <si>
    <t>Mechanic: Resurrection</t>
  </si>
  <si>
    <t>https://en.wikipedia.org/wiki/Mechanic:_Resurrection</t>
  </si>
  <si>
    <t>Dennis Gansel</t>
  </si>
  <si>
    <t>Jason Statham</t>
  </si>
  <si>
    <t>Michelle Yeoh</t>
  </si>
  <si>
    <t>Men in Black 3</t>
  </si>
  <si>
    <t>https://en.wikipedia.org/wiki/Men_in_Black_3</t>
  </si>
  <si>
    <t>Barry Sonnenfeld</t>
  </si>
  <si>
    <t>Jemaine Clement</t>
  </si>
  <si>
    <t>Midnight Special</t>
  </si>
  <si>
    <t>https://en.wikipedia.org/wiki/Midnight_Special_(film)</t>
  </si>
  <si>
    <t>Jeff Nichols</t>
  </si>
  <si>
    <t>Kirsten Dunst</t>
  </si>
  <si>
    <t>Sam Shepard</t>
  </si>
  <si>
    <t>Miracles from Heaven</t>
  </si>
  <si>
    <t>https://en.wikipedia.org/wiki/Miracles_from_Heaven_(film)</t>
  </si>
  <si>
    <t>Patricia Riggen</t>
  </si>
  <si>
    <t>Martin Henderson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</si>
  <si>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</si>
  <si>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</si>
  <si>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</si>
  <si>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</si>
  <si>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</si>
  <si>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</si>
  <si>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</si>
  <si>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</si>
  <si>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Mission: Impossible – Rogue Nation</t>
  </si>
  <si>
    <t>https://en.wikipedia.org/wiki/Mission:_Impossible_%25E2%2580%2593_Rogue_Nation</t>
  </si>
  <si>
    <t>Simon Pegg</t>
  </si>
  <si>
    <t>Ving Rhames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</si>
  <si>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</si>
  <si>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</si>
  <si>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</si>
  <si>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</si>
  <si>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</si>
  <si>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</si>
  <si>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</si>
  <si>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Money Monster</t>
  </si>
  <si>
    <t>https://en.wikipedia.org/wiki/Money_Monster</t>
  </si>
  <si>
    <t>Dominic West</t>
  </si>
  <si>
    <t>Caitriona Balfe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</si>
  <si>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</si>
  <si>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</si>
  <si>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</si>
  <si>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</si>
  <si>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</si>
  <si>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</si>
  <si>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</si>
  <si>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Moonrise Kingdom ₪</t>
  </si>
  <si>
    <t>https://en.wikipedia.org/wiki/Moonrise_Kingdom</t>
  </si>
  <si>
    <t>Wes Anderson</t>
  </si>
  <si>
    <t>Jared Gilman</t>
  </si>
  <si>
    <t>Kara Hayward</t>
  </si>
  <si>
    <t>Edward Norton</t>
  </si>
  <si>
    <t>Mortdecai</t>
  </si>
  <si>
    <t>https://en.wikipedia.org/wiki/Mortdecai_(film)</t>
  </si>
  <si>
    <t>Aubrey Plaza</t>
  </si>
  <si>
    <t>Oliver Platt</t>
  </si>
  <si>
    <t>Mother's Day</t>
  </si>
  <si>
    <t>https://en.wikipedia.org/wiki/Mother%2527s_Day_(2016_film)</t>
  </si>
  <si>
    <t>Garry Marshall</t>
  </si>
  <si>
    <t>Kate Hudson</t>
  </si>
  <si>
    <t>Timothy Olyphant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</si>
  <si>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</si>
  <si>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</si>
  <si>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</si>
  <si>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</si>
  <si>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</si>
  <si>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</si>
  <si>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Mud</t>
  </si>
  <si>
    <t>https://en.wikipedia.org/wiki/Mud_(2012_film)</t>
  </si>
  <si>
    <t>Mustang</t>
  </si>
  <si>
    <t>https://en.wikipedia.org/wiki/Mustang_(film)</t>
  </si>
  <si>
    <t>Deniz Gamze Ergüven</t>
  </si>
  <si>
    <t>Güneş Şensoy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</si>
  <si>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</si>
  <si>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</si>
  <si>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</si>
  <si>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</si>
  <si>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</si>
  <si>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</si>
  <si>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</si>
  <si>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My Big Fat Greek Wedding 2</t>
  </si>
  <si>
    <t>https://en.wikipedia.org/wiki/My_Big_Fat_Greek_Wedding_2</t>
  </si>
  <si>
    <t>Kirk Jones</t>
  </si>
  <si>
    <t>Nia Vardalos</t>
  </si>
  <si>
    <t>John Corbett</t>
  </si>
  <si>
    <t>Ian Gomez</t>
  </si>
  <si>
    <t>Elena Kampouris</t>
  </si>
  <si>
    <t>Need for Speed</t>
  </si>
  <si>
    <t>https://en.wikipedia.org/wiki/Need_for_Speed_(film)</t>
  </si>
  <si>
    <t>Scott Waugh</t>
  </si>
  <si>
    <t>Michael Keaton</t>
  </si>
  <si>
    <t>Ramón Rodríguez</t>
  </si>
  <si>
    <t>Neighbors</t>
  </si>
  <si>
    <t>https://en.wikipedia.org/wiki/Neighbors_(2014_film)</t>
  </si>
  <si>
    <t>Nicholas Stoller</t>
  </si>
  <si>
    <t>Christopher Mintz-Plasse</t>
  </si>
  <si>
    <t>Dave Franco</t>
  </si>
  <si>
    <t>Neighbors 2: Sorority Rising</t>
  </si>
  <si>
    <t>https://en.wikipedia.org/wiki/Neighbors_2:_Sorority_Rising</t>
  </si>
  <si>
    <t>Nerve</t>
  </si>
  <si>
    <t>https://en.wikipedia.org/wiki/Nerve_(2016_film)</t>
  </si>
  <si>
    <t>Henry Joost</t>
  </si>
  <si>
    <t>Ariel Schulman</t>
  </si>
  <si>
    <t>Emma Roberts</t>
  </si>
  <si>
    <t>Emily Meade</t>
  </si>
  <si>
    <t>Kimiko Glenn</t>
  </si>
  <si>
    <t>Juliette Lewis</t>
  </si>
  <si>
    <t>Night at the Museum: Secret of the Tomb</t>
  </si>
  <si>
    <t>https://en.wikipedia.org/wiki/Night_at_the_Museum:_Secret_of_the_Tomb</t>
  </si>
  <si>
    <t>Shawn Levy</t>
  </si>
  <si>
    <t>Ben Stiller</t>
  </si>
  <si>
    <t>Robin Williams</t>
  </si>
  <si>
    <t>Owen Wilson</t>
  </si>
  <si>
    <t>Ricky Gervais</t>
  </si>
  <si>
    <t>Nightcrawler</t>
  </si>
  <si>
    <t>https://en.wikipedia.org/wiki/Nightcrawler_(film)</t>
  </si>
  <si>
    <t>Dan Gilroy</t>
  </si>
  <si>
    <t>Rene Russo</t>
  </si>
  <si>
    <t>Nine Lives</t>
  </si>
  <si>
    <t>https://en.wikipedia.org/wiki/Nine_Lives_(2016_film)</t>
  </si>
  <si>
    <t>Robbie Amell</t>
  </si>
  <si>
    <t>Malina Weissman</t>
  </si>
  <si>
    <t>No Escape</t>
  </si>
  <si>
    <t>https://en.wikipedia.org/wiki/No_Escape_(2015_film)</t>
  </si>
  <si>
    <t>Lake Bell</t>
  </si>
  <si>
    <t>No Good Deed</t>
  </si>
  <si>
    <t>https://en.wikipedia.org/wiki/No_Good_Deed_(2014_film)</t>
  </si>
  <si>
    <t>Sam Miller</t>
  </si>
  <si>
    <t>Taraji P. Henson</t>
  </si>
  <si>
    <t>Henry Simmons</t>
  </si>
  <si>
    <t>No One Lives</t>
  </si>
  <si>
    <t>https://en.wikipedia.org/wiki/No_One_Lives</t>
  </si>
  <si>
    <t>Ryuhei Kitamura</t>
  </si>
  <si>
    <t>Adelaide Clemens</t>
  </si>
  <si>
    <t>America Olivo</t>
  </si>
  <si>
    <t>Derek Magyar</t>
  </si>
  <si>
    <t>Lindsey Shaw</t>
  </si>
  <si>
    <t>Noah</t>
  </si>
  <si>
    <t>https://en.wikipedia.org/wiki/Noah_(2014_film)</t>
  </si>
  <si>
    <t>Darren Aronofsky</t>
  </si>
  <si>
    <t>Jennifer Connelly</t>
  </si>
  <si>
    <t>Emma Watson</t>
  </si>
  <si>
    <t>Ray Winstone</t>
  </si>
  <si>
    <t>Non-Stop</t>
  </si>
  <si>
    <t>https://en.wikipedia.org/wiki/Non-Stop_(film)</t>
  </si>
  <si>
    <t>Jaume Collet-Serra</t>
  </si>
  <si>
    <t>Julianne Moore</t>
  </si>
  <si>
    <t>Lupita Nyong'o</t>
  </si>
  <si>
    <t>Michelle Dockery</t>
  </si>
  <si>
    <t>Now You See Me</t>
  </si>
  <si>
    <t>https://en.wikipedia.org/wiki/Now_You_See_Me_(film)</t>
  </si>
  <si>
    <t>Louis Leterrier</t>
  </si>
  <si>
    <t>Isla Fisher</t>
  </si>
  <si>
    <t>Woody Harrelson</t>
  </si>
  <si>
    <t>Mark Ruffalo</t>
  </si>
  <si>
    <t>Now You See Me 2</t>
  </si>
  <si>
    <t>https://en.wikipedia.org/wiki/Now_You_See_Me_2</t>
  </si>
  <si>
    <t>Lizzy Caplan</t>
  </si>
  <si>
    <t>Oblivion</t>
  </si>
  <si>
    <t>https://en.wikipedia.org/wiki/Oblivion_(2013_film)</t>
  </si>
  <si>
    <t>Joseph Kosinski</t>
  </si>
  <si>
    <t>Olga Kurylenko</t>
  </si>
  <si>
    <t>Andrea Riseborough</t>
  </si>
  <si>
    <t>Olympus Has Fallen</t>
  </si>
  <si>
    <t>https://en.wikipedia.org/wiki/Olympus_Has_Fallen</t>
  </si>
  <si>
    <t>Antoine Fuqua</t>
  </si>
  <si>
    <t>Rick Yune</t>
  </si>
  <si>
    <t>Dylan McDermott</t>
  </si>
  <si>
    <t>One Direction: This Is Us</t>
  </si>
  <si>
    <t>https://en.wikipedia.org/wiki/One_Direction:_This_Is_Us</t>
  </si>
  <si>
    <t>Morgan Spurlock</t>
  </si>
  <si>
    <t>Harry Styles</t>
  </si>
  <si>
    <t>Niall Horan</t>
  </si>
  <si>
    <t>Louis Tomlinson</t>
  </si>
  <si>
    <t>Zayn Malik</t>
  </si>
  <si>
    <t>Liam Payne</t>
  </si>
  <si>
    <t>One for the Money</t>
  </si>
  <si>
    <t>https://en.wikipedia.org/wiki/One_for_the_Money_(film)</t>
  </si>
  <si>
    <t>Julie Anne Robinson</t>
  </si>
  <si>
    <t>Katherine Heigl</t>
  </si>
  <si>
    <t>Debbie Reynolds</t>
  </si>
  <si>
    <t>Jason O'Mara</t>
  </si>
  <si>
    <t>Daniel Sunjata</t>
  </si>
  <si>
    <t>Sherri Shepherd</t>
  </si>
  <si>
    <t>Ouija</t>
  </si>
  <si>
    <t>https://en.wikipedia.org/wiki/Ouija_(2014_film)</t>
  </si>
  <si>
    <t>Stiles White</t>
  </si>
  <si>
    <t>Douglas Smith</t>
  </si>
  <si>
    <t>Vivis Colombetti</t>
  </si>
  <si>
    <t>Ana Coto</t>
  </si>
  <si>
    <t>Erin Moriarty</t>
  </si>
  <si>
    <t>Our Brand Is Crisis</t>
  </si>
  <si>
    <t>https://en.wikipedia.org/wiki/Our_Brand_Is_Crisis_(2015_film)</t>
  </si>
  <si>
    <t>David Gordon Green</t>
  </si>
  <si>
    <t>Sandra Bullock</t>
  </si>
  <si>
    <t>Billy Bob Thornton</t>
  </si>
  <si>
    <t>Ann Dowd</t>
  </si>
  <si>
    <t>Pacific Rim</t>
  </si>
  <si>
    <t>https://en.wikipedia.org/wiki/Pacific_Rim_(film)</t>
  </si>
  <si>
    <t>Ellen McLain</t>
  </si>
  <si>
    <t>Rinko Kikuchi</t>
  </si>
  <si>
    <t>Pain &amp; Gain</t>
  </si>
  <si>
    <t>https://en.wikipedia.org/wiki/Pain_%2526_Gain</t>
  </si>
  <si>
    <t>Ken Jeong</t>
  </si>
  <si>
    <t>Pan</t>
  </si>
  <si>
    <t>https://en.wikipedia.org/wiki/Pan_(2015_film)</t>
  </si>
  <si>
    <t>Joe Wright</t>
  </si>
  <si>
    <t>Garrett Hedlund</t>
  </si>
  <si>
    <t>Levi Miller</t>
  </si>
  <si>
    <t>Paper Towns</t>
  </si>
  <si>
    <t>https://en.wikipedia.org/wiki/Paper_Towns_(film)</t>
  </si>
  <si>
    <t>Jake Schreier</t>
  </si>
  <si>
    <t>Nat Wolff</t>
  </si>
  <si>
    <t>Cara Delevingne</t>
  </si>
  <si>
    <t>Paranormal Activity 4</t>
  </si>
  <si>
    <t>https://en.wikipedia.org/wiki/Paranormal_Activity_4</t>
  </si>
  <si>
    <t>Kathryn Newton</t>
  </si>
  <si>
    <t>Katie Featherston</t>
  </si>
  <si>
    <t>Paranormal Activity: The Ghost Dimension</t>
  </si>
  <si>
    <t>https://en.wikipedia.org/wiki/Paranormal_Activity:_The_Ghost_Dimension</t>
  </si>
  <si>
    <t>Gregory Plotkin</t>
  </si>
  <si>
    <t>Tyler Craig</t>
  </si>
  <si>
    <t>ParaNorman</t>
  </si>
  <si>
    <t>https://en.wikipedia.org/wiki/ParaNorman</t>
  </si>
  <si>
    <t>Chris Butler</t>
  </si>
  <si>
    <t>Tucker Albrizzi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</si>
  <si>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</si>
  <si>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</si>
  <si>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</si>
  <si>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</si>
  <si>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</si>
  <si>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</si>
  <si>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</si>
  <si>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</si>
  <si>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Parker</t>
  </si>
  <si>
    <t>https://en.wikipedia.org/wiki/Parker_(2013_film)</t>
  </si>
  <si>
    <t>Taylor Hackford</t>
  </si>
  <si>
    <t>Clifton Collins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</si>
  <si>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</si>
  <si>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</si>
  <si>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</si>
  <si>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</si>
  <si>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</si>
  <si>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</si>
  <si>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Pawn Sacrifice</t>
  </si>
  <si>
    <t>https://en.wikipedia.org/wiki/Pawn_Sacrifice</t>
  </si>
  <si>
    <t>Ed Zwick</t>
  </si>
  <si>
    <t>Tobey Maguire</t>
  </si>
  <si>
    <t>Liev Schreiber</t>
  </si>
  <si>
    <t>Peter Sarsgaard</t>
  </si>
  <si>
    <t>Michael Stuhlbarg</t>
  </si>
  <si>
    <t>Lily Rabe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</si>
  <si>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</si>
  <si>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</si>
  <si>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</si>
  <si>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</si>
  <si>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</si>
  <si>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</si>
  <si>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People Like Us</t>
  </si>
  <si>
    <t>https://en.wikipedia.org/wiki/People_Like_Us_(film)</t>
  </si>
  <si>
    <t>Alex Kurtzman</t>
  </si>
  <si>
    <t>Mark Duplass</t>
  </si>
  <si>
    <t>Percy Jackson: Sea of Monsters</t>
  </si>
  <si>
    <t>https://en.wikipedia.org/wiki/Percy_Jackson:_Sea_of_Monsters</t>
  </si>
  <si>
    <t>Thor Freudenthal</t>
  </si>
  <si>
    <t>Alexandra Daddario</t>
  </si>
  <si>
    <t>Mary Birdsong</t>
  </si>
  <si>
    <t>Yvette Nicole Brown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</si>
  <si>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</si>
  <si>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</si>
  <si>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</si>
  <si>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</si>
  <si>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</si>
  <si>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</si>
  <si>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</si>
  <si>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Pitch Perfect 2</t>
  </si>
  <si>
    <t>https://en.wikipedia.org/wiki/Pitch_Perfect_2</t>
  </si>
  <si>
    <t>Hailee Steinfeld</t>
  </si>
  <si>
    <t>Brittany Snow</t>
  </si>
  <si>
    <t>Skylar Astin</t>
  </si>
  <si>
    <t>Pixels</t>
  </si>
  <si>
    <t>https://en.wikipedia.org/wiki/Pixels_(2015_film)</t>
  </si>
  <si>
    <t>Chris Columbus</t>
  </si>
  <si>
    <t>Peter Dinklage</t>
  </si>
  <si>
    <t>Michelle Monaghan</t>
  </si>
  <si>
    <t>Point Break</t>
  </si>
  <si>
    <t>https://en.wikipedia.org/wiki/Point_Break_(2015_film)</t>
  </si>
  <si>
    <t>Ericson Core</t>
  </si>
  <si>
    <t>Edgar Ramirez</t>
  </si>
  <si>
    <t>Luke Bracey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</si>
  <si>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</si>
  <si>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</si>
  <si>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</si>
  <si>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</si>
  <si>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</si>
  <si>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</si>
  <si>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</si>
  <si>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</si>
  <si>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Poltergeist</t>
  </si>
  <si>
    <t>https://en.wikipedia.org/wiki/Poltergeist_(2015_film)</t>
  </si>
  <si>
    <t>Gil Kenan</t>
  </si>
  <si>
    <t>Sam Rockwell</t>
  </si>
  <si>
    <t>Jared Harris</t>
  </si>
  <si>
    <t>Saxon Sharbino</t>
  </si>
  <si>
    <t>Kyle Catlett</t>
  </si>
  <si>
    <t>Pompeii</t>
  </si>
  <si>
    <t>https://en.wikipedia.org/wiki/Pompeii_(film)</t>
  </si>
  <si>
    <t>Paul W. S. Anderson</t>
  </si>
  <si>
    <t>Kit Harington</t>
  </si>
  <si>
    <t>Emily Browning</t>
  </si>
  <si>
    <t>Kiefer Sutherland</t>
  </si>
  <si>
    <t>Carrie-Anne Moss</t>
  </si>
  <si>
    <t>Popstar: Never Stop Never Stopping</t>
  </si>
  <si>
    <t>https://en.wikipedia.org/wiki/Popstar:_Never_Stop_Never_Stopping</t>
  </si>
  <si>
    <t>Jorma Taccone</t>
  </si>
  <si>
    <t>Akiva Schaffer</t>
  </si>
  <si>
    <t>Andy Samberg (screenplay)</t>
  </si>
  <si>
    <t>Premium Rush</t>
  </si>
  <si>
    <t>https://en.wikipedia.org/wiki/Premium_Rush</t>
  </si>
  <si>
    <t>Dania Ramirez</t>
  </si>
  <si>
    <t>Wole Parks</t>
  </si>
  <si>
    <t>Jamie Chung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</si>
  <si>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</si>
  <si>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</si>
  <si>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</si>
  <si>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</si>
  <si>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</si>
  <si>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</si>
  <si>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Prisoners</t>
  </si>
  <si>
    <t>https://en.wikipedia.org/wiki/Prisoners_(2013_film)</t>
  </si>
  <si>
    <t>Denis Villeneuve</t>
  </si>
  <si>
    <t>Melissa Leo</t>
  </si>
  <si>
    <t>Project Almanac</t>
  </si>
  <si>
    <t>https://en.wikipedia.org/wiki/Project_Almanac</t>
  </si>
  <si>
    <t>Dean Israelite</t>
  </si>
  <si>
    <t>Sofia Black-D'Elia</t>
  </si>
  <si>
    <t>Project X</t>
  </si>
  <si>
    <t>https://en.wikipedia.org/wiki/Project_X_(2012_film)</t>
  </si>
  <si>
    <t>Oliver Cooper</t>
  </si>
  <si>
    <t>Jonathan Daniel Brown</t>
  </si>
  <si>
    <t>Kirby Bliss Blanton</t>
  </si>
  <si>
    <t>Prometheus</t>
  </si>
  <si>
    <t>https://en.wikipedia.org/wiki/Prometheus_(2012_film)</t>
  </si>
  <si>
    <t>Ridley Scott</t>
  </si>
  <si>
    <t>Michael Fassbender</t>
  </si>
  <si>
    <t>Promised Land</t>
  </si>
  <si>
    <t>https://en.wikipedia.org/wiki/Promised_Land_(2012_film)</t>
  </si>
  <si>
    <t>Gus Van Sant</t>
  </si>
  <si>
    <t>Frances McDormand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</si>
  <si>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</si>
  <si>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</si>
  <si>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</si>
  <si>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</si>
  <si>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</si>
  <si>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</si>
  <si>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</si>
  <si>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Race</t>
  </si>
  <si>
    <t>https://en.wikipedia.org/wiki/Race_(2016_film)</t>
  </si>
  <si>
    <t>Stephen Hopkins</t>
  </si>
  <si>
    <t>Stephan James</t>
  </si>
  <si>
    <t>William Hurt</t>
  </si>
  <si>
    <t>Carice van Houten</t>
  </si>
  <si>
    <t>Raiders of the Lost Ark: The IMAX Experience</t>
  </si>
  <si>
    <t>https://en.wikipedia.org/wiki/Raiders_of_the_Lost_Ark</t>
  </si>
  <si>
    <t>John Rhys-Davies</t>
  </si>
  <si>
    <t>Karen Allen</t>
  </si>
  <si>
    <t>Paul Freeman</t>
  </si>
  <si>
    <t>Alfred Molina</t>
  </si>
  <si>
    <t>Rams</t>
  </si>
  <si>
    <t>https://en.wikipedia.org/wiki/Rams_(film)</t>
  </si>
  <si>
    <t>Grímur Hákonarson</t>
  </si>
  <si>
    <t>Sigurður Sigurjónsson</t>
  </si>
  <si>
    <t>Ratchet &amp; Clank</t>
  </si>
  <si>
    <t>https://en.wikipedia.org/wiki/Ratchet_%2526_Clank_(film)</t>
  </si>
  <si>
    <t>Jerrica Cleland</t>
  </si>
  <si>
    <t>Kevin Munroe</t>
  </si>
  <si>
    <t>Paul Giamatti</t>
  </si>
  <si>
    <t>James Arnold Taylor</t>
  </si>
  <si>
    <t>RED 2</t>
  </si>
  <si>
    <t>https://en.wikipedia.org/wiki/RED_2_(film)</t>
  </si>
  <si>
    <t>Dean Parisot</t>
  </si>
  <si>
    <t>Catherine Zeta-Jones</t>
  </si>
  <si>
    <t>Red Dawn</t>
  </si>
  <si>
    <t>https://en.wikipedia.org/wiki/Red_Dawn_(2012_film)</t>
  </si>
  <si>
    <t>Dan Bradley</t>
  </si>
  <si>
    <t>Will Yun Lee</t>
  </si>
  <si>
    <t>Adrianne Palicki</t>
  </si>
  <si>
    <t>Red Tails</t>
  </si>
  <si>
    <t>https://en.wikipedia.org/wiki/Red_Tails</t>
  </si>
  <si>
    <t>Anthony Hemingway</t>
  </si>
  <si>
    <t>Cuba Gooding Jr.</t>
  </si>
  <si>
    <t>Daniela Ruah</t>
  </si>
  <si>
    <t>Resident Evil: Retribution</t>
  </si>
  <si>
    <t>https://en.wikipedia.org/wiki/Resident_Evil:_Retribution</t>
  </si>
  <si>
    <t>Milla Jovovich</t>
  </si>
  <si>
    <t>Sienna Guillory</t>
  </si>
  <si>
    <t>Colin Salmon</t>
  </si>
  <si>
    <t>Boris Kodjoe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</si>
  <si>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</si>
  <si>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</si>
  <si>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</si>
  <si>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</si>
  <si>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</si>
  <si>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</si>
  <si>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</si>
  <si>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</si>
  <si>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</si>
  <si>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</si>
  <si>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</si>
  <si>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</si>
  <si>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</si>
  <si>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Ride Along</t>
  </si>
  <si>
    <t>https://en.wikipedia.org/wiki/Ride_Along_(film)</t>
  </si>
  <si>
    <t>Tim Story</t>
  </si>
  <si>
    <t>Bruce McGill</t>
  </si>
  <si>
    <t>Ride Along 2</t>
  </si>
  <si>
    <t>https://en.wikipedia.org/wiki/Ride_Along_2</t>
  </si>
  <si>
    <t>Benjamin Bratt</t>
  </si>
  <si>
    <t>Rio 2</t>
  </si>
  <si>
    <t>https://en.wikipedia.org/wiki/Rio_2</t>
  </si>
  <si>
    <t>Carlos Saldanha</t>
  </si>
  <si>
    <t>Leslie Mann</t>
  </si>
  <si>
    <t>Bruno Mars</t>
  </si>
  <si>
    <t>Rise of the Guardians</t>
  </si>
  <si>
    <t>https://en.wikipedia.org/wiki/Rise_of_the_Guardians</t>
  </si>
  <si>
    <t>Peter Ramsey</t>
  </si>
  <si>
    <t>Jude Law</t>
  </si>
  <si>
    <t>Risen</t>
  </si>
  <si>
    <t>https://en.wikipedia.org/wiki/Risen_(2016_film)</t>
  </si>
  <si>
    <t>Kevin Reynolds</t>
  </si>
  <si>
    <t>Joseph Fiennes</t>
  </si>
  <si>
    <t>Tom Felton</t>
  </si>
  <si>
    <t>RoboCop</t>
  </si>
  <si>
    <t>https://en.wikipedia.org/wiki/RoboCop_(2014_film)</t>
  </si>
  <si>
    <t>José Padilha</t>
  </si>
  <si>
    <t>Robot &amp; Frank</t>
  </si>
  <si>
    <t>https://en.wikipedia.org/wiki/Robot_%2526_Frank</t>
  </si>
  <si>
    <t>James Marsden</t>
  </si>
  <si>
    <t>Liv Tyler</t>
  </si>
  <si>
    <t>Rock of Ages</t>
  </si>
  <si>
    <t>https://en.wikipedia.org/wiki/Rock_of_Ages_(2012_film)</t>
  </si>
  <si>
    <t>Adam Shankman</t>
  </si>
  <si>
    <t>Julianne Hough</t>
  </si>
  <si>
    <t>Diego Boneta</t>
  </si>
  <si>
    <t>Russell Brand</t>
  </si>
  <si>
    <t>Rock the Kasbah</t>
  </si>
  <si>
    <t>https://en.wikipedia.org/wiki/Rock_the_Kasbah_(film)</t>
  </si>
  <si>
    <t>Barry Levinson</t>
  </si>
  <si>
    <t>Scott Caan</t>
  </si>
  <si>
    <t>Zooey Deschanel</t>
  </si>
  <si>
    <t>Romeo and Juliet</t>
  </si>
  <si>
    <t>https://en.wikipedia.org/wiki/Romeo_and_Juliet_(2013_film)</t>
  </si>
  <si>
    <t>Carlo Carlei</t>
  </si>
  <si>
    <t>Douglas Booth</t>
  </si>
  <si>
    <t>Damian Lewis</t>
  </si>
  <si>
    <t>Natascha McElhone</t>
  </si>
  <si>
    <t>Lesley Manville</t>
  </si>
  <si>
    <t>Room</t>
  </si>
  <si>
    <t>https://en.wikipedia.org/wiki/Room_(2015_film)</t>
  </si>
  <si>
    <t>Lenny Abrahamson</t>
  </si>
  <si>
    <t>Joan Allen</t>
  </si>
  <si>
    <t>William H. Macy</t>
  </si>
  <si>
    <t>Sean Bridgers</t>
  </si>
  <si>
    <t>Jacob Tremblay</t>
  </si>
  <si>
    <t>Run All Night</t>
  </si>
  <si>
    <t>https://en.wikipedia.org/wiki/Run_All_Night_(film)</t>
  </si>
  <si>
    <t>Runner, Runner</t>
  </si>
  <si>
    <t>https://en.wikipedia.org/wiki/Runner,_Runner_(film)</t>
  </si>
  <si>
    <t>Brad Furman</t>
  </si>
  <si>
    <t>Justin Timberlake</t>
  </si>
  <si>
    <t>Rush</t>
  </si>
  <si>
    <t>https://en.wikipedia.org/wiki/Rush_(2013_film)</t>
  </si>
  <si>
    <t>Daniel Bruhl</t>
  </si>
  <si>
    <t>Alexandra Maria Lara</t>
  </si>
  <si>
    <t>Sabotage</t>
  </si>
  <si>
    <t>https://en.wikipedia.org/wiki/Sabotage_(2014_film)</t>
  </si>
  <si>
    <t>Arnold Schwarzenegger</t>
  </si>
  <si>
    <t>Joe Manganiello</t>
  </si>
  <si>
    <t>Olivia Williams</t>
  </si>
  <si>
    <t>Safe House</t>
  </si>
  <si>
    <t>https://en.wikipedia.org/wiki/Safe_House_(2012_film)</t>
  </si>
  <si>
    <t>Liam Cunningham</t>
  </si>
  <si>
    <t>Salmon Fishing in the Yemen</t>
  </si>
  <si>
    <t>https://en.wikipedia.org/wiki/Salmon_Fishing_in_the_Yemen</t>
  </si>
  <si>
    <t>Lasse Hallström</t>
  </si>
  <si>
    <t>Kristin Scott Thomas</t>
  </si>
  <si>
    <t>Amr Waked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</si>
  <si>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</si>
  <si>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</si>
  <si>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</si>
  <si>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</si>
  <si>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</si>
  <si>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</si>
  <si>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</si>
  <si>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Scary Movie 5</t>
  </si>
  <si>
    <t>https://en.wikipedia.org/wiki/Scary_Movie_5</t>
  </si>
  <si>
    <t>Ashley Tisdale</t>
  </si>
  <si>
    <t>Simon Rex</t>
  </si>
  <si>
    <t>Lindsay Lohan</t>
  </si>
  <si>
    <t>Charlie Sheen</t>
  </si>
  <si>
    <t>Secret in Their Eyes</t>
  </si>
  <si>
    <t>https://en.wikipedia.org/wiki/Secret_in_Their_Eyes</t>
  </si>
  <si>
    <t>Billy Ray</t>
  </si>
  <si>
    <t>Chiwetel Ejiofor</t>
  </si>
  <si>
    <t>Dean Norris</t>
  </si>
  <si>
    <t>Self/less</t>
  </si>
  <si>
    <t>https://en.wikipedia.org/wiki/Self/less</t>
  </si>
  <si>
    <t>Ben Kingsley</t>
  </si>
  <si>
    <t>Natalie Martinez</t>
  </si>
  <si>
    <t>Matthew Goode</t>
  </si>
  <si>
    <t>Selma</t>
  </si>
  <si>
    <t>https://en.wikipedia.org/wiki/Selma_(film)</t>
  </si>
  <si>
    <t>Ava DuVernay</t>
  </si>
  <si>
    <t>Tom Wilkinson</t>
  </si>
  <si>
    <t>Common</t>
  </si>
  <si>
    <t>Carmen Ejogo</t>
  </si>
  <si>
    <t>Seventh Son</t>
  </si>
  <si>
    <t>https://en.wikipedia.org/wiki/Seventh_Son_(film)</t>
  </si>
  <si>
    <t>Sergei Bodrov</t>
  </si>
  <si>
    <t>Sergei Bodrov (director) Ben Barnes</t>
  </si>
  <si>
    <t>Shaun the Sheep Movie</t>
  </si>
  <si>
    <t>https://en.wikipedia.org/wiki/Shaun_the_Sheep_Movie</t>
  </si>
  <si>
    <t>Mark Burton</t>
  </si>
  <si>
    <t>Justin Fletcher</t>
  </si>
  <si>
    <t>John Sparkes</t>
  </si>
  <si>
    <t>Sicario</t>
  </si>
  <si>
    <t>https://en.wikipedia.org/wiki/Sicario_(2015_film)</t>
  </si>
  <si>
    <t>Side Effects</t>
  </si>
  <si>
    <t>https://en.wikipedia.org/wiki/Side_Effects_(2013_film)</t>
  </si>
  <si>
    <t>Steven Soderbergh</t>
  </si>
  <si>
    <t>Vinessa Shaw</t>
  </si>
  <si>
    <t>Silent Hill: Revelation 3D</t>
  </si>
  <si>
    <t>https://en.wikipedia.org/wiki/Silent_Hill:_Revelation_3D</t>
  </si>
  <si>
    <t>Michael J. Bassett</t>
  </si>
  <si>
    <t>Sean Bean</t>
  </si>
  <si>
    <t>Radha Mitchell</t>
  </si>
  <si>
    <t>Silver Linings Playbook</t>
  </si>
  <si>
    <t>https://en.wikipedia.org/wiki/Silver_Linings_Playbook</t>
  </si>
  <si>
    <t>Brea Bee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</si>
  <si>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</si>
  <si>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</si>
  <si>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</si>
  <si>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</si>
  <si>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</si>
  <si>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Sinister</t>
  </si>
  <si>
    <t>https://en.wikipedia.org/wiki/Sinister_(film)</t>
  </si>
  <si>
    <t>Juliet Rylance</t>
  </si>
  <si>
    <t>Fred Thompson</t>
  </si>
  <si>
    <t>Vincent D'Onofrio</t>
  </si>
  <si>
    <t>Sinister 2</t>
  </si>
  <si>
    <t>https://en.wikipedia.org/wiki/Sinister_2</t>
  </si>
  <si>
    <t>Ciaran Foy</t>
  </si>
  <si>
    <t>James Ransone</t>
  </si>
  <si>
    <t>Shannyn Sossamon</t>
  </si>
  <si>
    <t>Sisters</t>
  </si>
  <si>
    <t>https://en.wikipedia.org/wiki/Sisters_(2015_film)</t>
  </si>
  <si>
    <t>Amy Poehler</t>
  </si>
  <si>
    <t>Tina Fey</t>
  </si>
  <si>
    <t>John Cena</t>
  </si>
  <si>
    <t>Snitch</t>
  </si>
  <si>
    <t>https://en.wikipedia.org/wiki/Snitch_(film)</t>
  </si>
  <si>
    <t>Ric Roman Waugh</t>
  </si>
  <si>
    <t>Snow White and the Huntsman</t>
  </si>
  <si>
    <t>https://en.wikipedia.org/wiki/Snow_White_and_the_Huntsman</t>
  </si>
  <si>
    <t>Rupert Sanders</t>
  </si>
  <si>
    <t>Sam Spruell</t>
  </si>
  <si>
    <t>Ian McShane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</si>
  <si>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</si>
  <si>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</si>
  <si>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</si>
  <si>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</si>
  <si>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</si>
  <si>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</si>
  <si>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Son of Saul</t>
  </si>
  <si>
    <t>https://en.wikipedia.org/wiki/Son_of_Saul</t>
  </si>
  <si>
    <t>László Nemes</t>
  </si>
  <si>
    <t>Géza Röhrig</t>
  </si>
  <si>
    <t>Southpaw</t>
  </si>
  <si>
    <t>https://en.wikipedia.org/wiki/Southpaw_(film)</t>
  </si>
  <si>
    <t>Naomie Harris</t>
  </si>
  <si>
    <t>Forest Whitaker</t>
  </si>
  <si>
    <t>Victor Ortiz</t>
  </si>
  <si>
    <t>Spotlight</t>
  </si>
  <si>
    <t>https://en.wikipedia.org/wiki/Spotlight_(film)</t>
  </si>
  <si>
    <t>Tom McCarthy</t>
  </si>
  <si>
    <t>John Slattery</t>
  </si>
  <si>
    <t>Spy</t>
  </si>
  <si>
    <t>https://en.wikipedia.org/wiki/Spy_(2015_film)</t>
  </si>
  <si>
    <t>Miranda Hart</t>
  </si>
  <si>
    <t>St. Vincent</t>
  </si>
  <si>
    <t>https://en.wikipedia.org/wiki/St._Vincent_(film)</t>
  </si>
  <si>
    <t>Theodore Melfi</t>
  </si>
  <si>
    <t>Naomi Watts</t>
  </si>
  <si>
    <t>Chris O'Dowd</t>
  </si>
  <si>
    <t>Kimberly Quinn</t>
  </si>
  <si>
    <t>Stand by Me Doraemon</t>
  </si>
  <si>
    <t>https://en.wikipedia.org/wiki/Stand_by_Me_Doraemon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</si>
  <si>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</si>
  <si>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</si>
  <si>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</si>
  <si>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</si>
  <si>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</si>
  <si>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</si>
  <si>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</si>
  <si>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Star Trek Beyond</t>
  </si>
  <si>
    <t>https://en.wikipedia.org/wiki/Star_Trek_Beyond</t>
  </si>
  <si>
    <t>Zoe Saldana</t>
  </si>
  <si>
    <t>Step Up: All In</t>
  </si>
  <si>
    <t>https://en.wikipedia.org/wiki/Step_Up:_All_In</t>
  </si>
  <si>
    <t>Trish Sie</t>
  </si>
  <si>
    <t>Briana Evigan</t>
  </si>
  <si>
    <t>Alyson Stoner</t>
  </si>
  <si>
    <t>Adam Sevani</t>
  </si>
  <si>
    <t>Mari Koda</t>
  </si>
  <si>
    <t>Steve Jobs</t>
  </si>
  <si>
    <t>https://en.wikipedia.org/wiki/Steve_Jobs_(2015_film)</t>
  </si>
  <si>
    <t>Danny Boyle</t>
  </si>
  <si>
    <t>Katherine Waterston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</si>
  <si>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</si>
  <si>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</si>
  <si>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</si>
  <si>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</si>
  <si>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</si>
  <si>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</si>
  <si>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</si>
  <si>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Suffragette</t>
  </si>
  <si>
    <t>https://en.wikipedia.org/wiki/Suffragette_(film)</t>
  </si>
  <si>
    <t>Sarah Gavron</t>
  </si>
  <si>
    <t>Carey Mulligan</t>
  </si>
  <si>
    <t>Brendan Gleeson</t>
  </si>
  <si>
    <t>Suicide Squad</t>
  </si>
  <si>
    <t>https://en.wikipedia.org/wiki/Suicide_Squad_(film)</t>
  </si>
  <si>
    <t>Jared Leto</t>
  </si>
  <si>
    <t>Margot Robbie</t>
  </si>
  <si>
    <t>Taken 2</t>
  </si>
  <si>
    <t>https://en.wikipedia.org/wiki/Taken_2</t>
  </si>
  <si>
    <t>Olivier Megaton</t>
  </si>
  <si>
    <t>Rade Sherbedgia</t>
  </si>
  <si>
    <t>Tammy</t>
  </si>
  <si>
    <t>https://en.wikipedia.org/wiki/Tammy_(film)</t>
  </si>
  <si>
    <t>Sandra Oh</t>
  </si>
  <si>
    <t>Ted</t>
  </si>
  <si>
    <t>https://en.wikipedia.org/wiki/Ted_(film)</t>
  </si>
  <si>
    <t>Seth MacFarlane</t>
  </si>
  <si>
    <t>Giovanni Ribisi</t>
  </si>
  <si>
    <t>Ted 2</t>
  </si>
  <si>
    <t>https://en.wikipedia.org/wiki/Ted_2</t>
  </si>
  <si>
    <t>Alec Sulkin</t>
  </si>
  <si>
    <t>Wellesley Wild(screenplay) Mark Wahlberg</t>
  </si>
  <si>
    <t>Teenage Mutant Ninja Turtles</t>
  </si>
  <si>
    <t>https://en.wikipedia.org/wiki/Teenage_Mutant_Ninja_Turtles_(2014_film)</t>
  </si>
  <si>
    <t>Jonathan Liebesman</t>
  </si>
  <si>
    <t>Megan Fox</t>
  </si>
  <si>
    <t>Johnny Knoxville</t>
  </si>
  <si>
    <t>Alan Ritchson</t>
  </si>
  <si>
    <t>Noel Fisher</t>
  </si>
  <si>
    <t>Jeremy Howard</t>
  </si>
  <si>
    <t>Teenage Mutant Ninja Turtles: Out of the Shadows</t>
  </si>
  <si>
    <t>https://en.wikipedia.org/wiki/Teenage_Mutant_Ninja_Turtles:_Out_of_the_Shadows</t>
  </si>
  <si>
    <t>Stephen Amell</t>
  </si>
  <si>
    <t>Will Arnett</t>
  </si>
  <si>
    <t>Laura Linney</t>
  </si>
  <si>
    <t>Brian Tee</t>
  </si>
  <si>
    <t>Terminator Genisys</t>
  </si>
  <si>
    <t>https://en.wikipedia.org/wiki/Terminator_Genisys</t>
  </si>
  <si>
    <t>Alan Taylor</t>
  </si>
  <si>
    <t>J. K. Simmons</t>
  </si>
  <si>
    <t>Texas Chainsaw 3D</t>
  </si>
  <si>
    <t>https://en.wikipedia.org/wiki/Texas_Chainsaw_3D</t>
  </si>
  <si>
    <t>John Luessenhop</t>
  </si>
  <si>
    <t>Dan Yeager</t>
  </si>
  <si>
    <t>Trey Songz</t>
  </si>
  <si>
    <t>Scott Eastwood</t>
  </si>
  <si>
    <t>Tania Raymonde</t>
  </si>
  <si>
    <t>That Awkward Moment</t>
  </si>
  <si>
    <t>https://en.wikipedia.org/wiki/That_Awkward_Moment</t>
  </si>
  <si>
    <t>Tom Gormican</t>
  </si>
  <si>
    <t>The 33</t>
  </si>
  <si>
    <t>https://en.wikipedia.org/wiki/The_33_(film)</t>
  </si>
  <si>
    <t>Antonio Banderas</t>
  </si>
  <si>
    <t>James Brolin</t>
  </si>
  <si>
    <t>Lou Diamond Phillips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</si>
  <si>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</si>
  <si>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</si>
  <si>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</si>
  <si>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</si>
  <si>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</si>
  <si>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</si>
  <si>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Age of Adaline</t>
  </si>
  <si>
    <t>https://en.wikipedia.org/wiki/The_Age_of_Adaline</t>
  </si>
  <si>
    <t>Lee Toland Krieger</t>
  </si>
  <si>
    <t>Michiel Huisman</t>
  </si>
  <si>
    <t>Ellen Burstyn</t>
  </si>
  <si>
    <t>Amanda Crew</t>
  </si>
  <si>
    <t>The Amazing Spider-Man</t>
  </si>
  <si>
    <t>https://en.wikipedia.org/wiki/The_Amazing_Spider-Man_(2012_film)</t>
  </si>
  <si>
    <t>Andrew Garfield</t>
  </si>
  <si>
    <t>Martin Sheen</t>
  </si>
  <si>
    <t>The Angry Birds Movie</t>
  </si>
  <si>
    <t>https://en.wikipedia.org/wiki/The_Angry_Birds_Movie</t>
  </si>
  <si>
    <t>Clay Kaytis</t>
  </si>
  <si>
    <t>Fergal Reilly</t>
  </si>
  <si>
    <t>Danny McBride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</si>
  <si>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</si>
  <si>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</si>
  <si>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</si>
  <si>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</si>
  <si>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</si>
  <si>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Maggie Smith</t>
  </si>
  <si>
    <t>The Big Short</t>
  </si>
  <si>
    <t>https://en.wikipedia.org/wiki/The_Big_Short_(film)</t>
  </si>
  <si>
    <t>Adam McKay</t>
  </si>
  <si>
    <t>Religious Bale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</si>
  <si>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</si>
  <si>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</si>
  <si>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</si>
  <si>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</si>
  <si>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</si>
  <si>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</si>
  <si>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</si>
  <si>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The Book of Life</t>
  </si>
  <si>
    <t>https://en.wikipedia.org/wiki/The_Book_of_Life_(2014_film)</t>
  </si>
  <si>
    <t>Jorge R. Gutierrez</t>
  </si>
  <si>
    <t>The Boss</t>
  </si>
  <si>
    <t>https://en.wikipedia.org/wiki/The_Boss_(2016_film)</t>
  </si>
  <si>
    <t>Tyler Labine</t>
  </si>
  <si>
    <t>The Bourne Legacy</t>
  </si>
  <si>
    <t>https://en.wikipedia.org/wiki/The_Bourne_Legacy_(film)</t>
  </si>
  <si>
    <t>Tony Gilroy</t>
  </si>
  <si>
    <t>Rachel Weisz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</si>
  <si>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</si>
  <si>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</si>
  <si>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</si>
  <si>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</si>
  <si>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</si>
  <si>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</si>
  <si>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The Boy</t>
  </si>
  <si>
    <t>https://en.wikipedia.org/wiki/The_Boy_(2016_film)</t>
  </si>
  <si>
    <t>William Brent Bell</t>
  </si>
  <si>
    <t>Lauren Cohan</t>
  </si>
  <si>
    <t>Rupert Evans</t>
  </si>
  <si>
    <t>Jim Norton</t>
  </si>
  <si>
    <t>Diana Hardcastle</t>
  </si>
  <si>
    <t>The Butler</t>
  </si>
  <si>
    <t>https://en.wikipedia.org/wiki/The_Butler</t>
  </si>
  <si>
    <t>Lee Daniels</t>
  </si>
  <si>
    <t>Oprah Winfrey</t>
  </si>
  <si>
    <t>The Cabin in the Woods</t>
  </si>
  <si>
    <t>https://en.wikipedia.org/wiki/The_Cabin_in_the_Woods</t>
  </si>
  <si>
    <t>Drew Goddard</t>
  </si>
  <si>
    <t>Bradley Whitford</t>
  </si>
  <si>
    <t>Jesse Williams</t>
  </si>
  <si>
    <t>Kristen Connolly</t>
  </si>
  <si>
    <t>The Call</t>
  </si>
  <si>
    <t>https://en.wikipedia.org/wiki/The_Call_(2013_film)</t>
  </si>
  <si>
    <t>Brad Anderson</t>
  </si>
  <si>
    <t>Abigail Breslin</t>
  </si>
  <si>
    <t>Halle Berry</t>
  </si>
  <si>
    <t>Morris Chestnut</t>
  </si>
  <si>
    <t>Michael Eklund</t>
  </si>
  <si>
    <t>Michael Imperioli</t>
  </si>
  <si>
    <t>The Campaign</t>
  </si>
  <si>
    <t>https://en.wikipedia.org/wiki/The_Campaign_(film)</t>
  </si>
  <si>
    <t>Jay Roach</t>
  </si>
  <si>
    <t>Zach Galifianakis</t>
  </si>
  <si>
    <t>Katherine LaNasa</t>
  </si>
  <si>
    <t>The Cold Light of Day</t>
  </si>
  <si>
    <t>https://en.wikipedia.org/wiki/The_Cold_Light_of_Day_(film)</t>
  </si>
  <si>
    <t>Mabrouk El Mechri</t>
  </si>
  <si>
    <t>Sigourney Weaver</t>
  </si>
  <si>
    <t>Veronica Echegui</t>
  </si>
  <si>
    <t>Roschoy Zem</t>
  </si>
  <si>
    <t>The Collection</t>
  </si>
  <si>
    <t>https://en.wikipedia.org/wiki/The_Collection_(film)</t>
  </si>
  <si>
    <t>Marcus Dunstan</t>
  </si>
  <si>
    <t>Josh Stewart</t>
  </si>
  <si>
    <t>Emma Fitzpatrick</t>
  </si>
  <si>
    <t>The Conjuring</t>
  </si>
  <si>
    <t>https://en.wikipedia.org/wiki/The_Conjuring_(film)</t>
  </si>
  <si>
    <t>Vera Farmiga</t>
  </si>
  <si>
    <t>Ron Livingston</t>
  </si>
  <si>
    <t>Lili Taylor</t>
  </si>
  <si>
    <t>Shannon Kook</t>
  </si>
  <si>
    <t>The Conjuring 2</t>
  </si>
  <si>
    <t>https://en.wikipedia.org/wiki/The_Conjuring_2</t>
  </si>
  <si>
    <t>The Croods</t>
  </si>
  <si>
    <t>https://en.wikipedia.org/wiki/The_Croods</t>
  </si>
  <si>
    <t>Chris Sanders</t>
  </si>
  <si>
    <t>Kirk DeMicco</t>
  </si>
  <si>
    <t>The Danish Girl</t>
  </si>
  <si>
    <t>https://en.wikipedia.org/wiki/The_Danish_Girl_(film)</t>
  </si>
  <si>
    <t>Matthias Schoenaerts</t>
  </si>
  <si>
    <t>The Darkness</t>
  </si>
  <si>
    <t>https://en.wikipedia.org/wiki/The_Darkness_(film)</t>
  </si>
  <si>
    <t>Greg McLean</t>
  </si>
  <si>
    <t>David Mazouz</t>
  </si>
  <si>
    <t>Lucy Fry</t>
  </si>
  <si>
    <t>Matt Walsh</t>
  </si>
  <si>
    <t>The Devil Inside</t>
  </si>
  <si>
    <t>https://en.wikipedia.org/wiki/The_Devil_Inside_(film)</t>
  </si>
  <si>
    <t>Suzan Crowley</t>
  </si>
  <si>
    <t>Fernanda Andrade</t>
  </si>
  <si>
    <t>Simon Quarterman</t>
  </si>
  <si>
    <t>Evan Helmuth</t>
  </si>
  <si>
    <t>The Dictator</t>
  </si>
  <si>
    <t>https://en.wikipedia.org/wiki/The_Dictator_(2012_film)</t>
  </si>
  <si>
    <t>Larry Charles</t>
  </si>
  <si>
    <t>John C. Reilly</t>
  </si>
  <si>
    <t>The Divergent Series: Allegiant</t>
  </si>
  <si>
    <t>https://en.wikipedia.org/wiki/The_Divergent_Series:_Allegiant</t>
  </si>
  <si>
    <t>The Divergent Series: Insurgent</t>
  </si>
  <si>
    <t>https://en.wikipedia.org/wiki/The_Divergent_Series:_Insurgent</t>
  </si>
  <si>
    <t>The Drop</t>
  </si>
  <si>
    <t>https://en.wikipedia.org/wiki/The_Drop_(film)</t>
  </si>
  <si>
    <t>Michaël R. Roskam</t>
  </si>
  <si>
    <t>The Duff</t>
  </si>
  <si>
    <t>https://en.wikipedia.org/wiki/The_Duff</t>
  </si>
  <si>
    <t>Ari Sandel</t>
  </si>
  <si>
    <t>Mae Whitman</t>
  </si>
  <si>
    <t>Bianca A. Santos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</si>
  <si>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</si>
  <si>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</si>
  <si>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</si>
  <si>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</si>
  <si>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</si>
  <si>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</si>
  <si>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</si>
  <si>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The Equalizer</t>
  </si>
  <si>
    <t>https://en.wikipedia.org/wiki/The_Equalizer_(film)</t>
  </si>
  <si>
    <t>Marton Csokas</t>
  </si>
  <si>
    <t>David Harbour</t>
  </si>
  <si>
    <t>The Expendables 2</t>
  </si>
  <si>
    <t>https://en.wikipedia.org/wiki/The_Expendables_2</t>
  </si>
  <si>
    <t>Simon West</t>
  </si>
  <si>
    <t>Dolph Lundgren</t>
  </si>
  <si>
    <t>Randy Couture</t>
  </si>
  <si>
    <t>The Expendables 3</t>
  </si>
  <si>
    <t>https://en.wikipedia.org/wiki/The_Expendables_3</t>
  </si>
  <si>
    <t>Patrick Hughes</t>
  </si>
  <si>
    <t>Mel Gibson</t>
  </si>
  <si>
    <t>The Family</t>
  </si>
  <si>
    <t>https://en.wikipedia.org/wiki/The_Family_(2013_film)</t>
  </si>
  <si>
    <t>Dianna Agron</t>
  </si>
  <si>
    <t>Vincent Pastore</t>
  </si>
  <si>
    <t>The Fault in Our Stars</t>
  </si>
  <si>
    <t>https://en.wikipedia.org/wiki/The_Fault_in_Our_Stars_(film)</t>
  </si>
  <si>
    <t>Josh Boone</t>
  </si>
  <si>
    <t>The Five-Year Engagement</t>
  </si>
  <si>
    <t>https://en.wikipedia.org/wiki/The_Five-Year_Engagement</t>
  </si>
  <si>
    <t>Chris Pratt</t>
  </si>
  <si>
    <t>Rhys Ifans</t>
  </si>
  <si>
    <t>The Forest</t>
  </si>
  <si>
    <t>https://en.wikipedia.org/wiki/The_Forest_(2016_film)</t>
  </si>
  <si>
    <t>Jason Zada</t>
  </si>
  <si>
    <t>Natalie Dormer</t>
  </si>
  <si>
    <t>Taylor Kinney</t>
  </si>
  <si>
    <t>The Gift</t>
  </si>
  <si>
    <t>https://en.wikipedia.org/wiki/The_Gift_(2015_film)</t>
  </si>
  <si>
    <t>Rebecca Hall</t>
  </si>
  <si>
    <t>The Giver</t>
  </si>
  <si>
    <t>https://en.wikipedia.org/wiki/The_Giver_(film)</t>
  </si>
  <si>
    <t>Phillip Noyce</t>
  </si>
  <si>
    <t>Katie Holmes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</si>
  <si>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</si>
  <si>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</si>
  <si>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</si>
  <si>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</si>
  <si>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</si>
  <si>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The Great Gatsby</t>
  </si>
  <si>
    <t>https://en.wikipedia.org/wiki/The_Great_Gatsby_(2013_film)</t>
  </si>
  <si>
    <t>Baz Luhrmann</t>
  </si>
  <si>
    <t>The Grey</t>
  </si>
  <si>
    <t>https://en.wikipedia.org/wiki/The_Grey_(film)</t>
  </si>
  <si>
    <t>Joe Carnahan</t>
  </si>
  <si>
    <t>Dallas Roberts</t>
  </si>
  <si>
    <t>The Gunman</t>
  </si>
  <si>
    <t>https://en.wikipedia.org/wiki/The_Gunman_(film)</t>
  </si>
  <si>
    <t>Pierre Morel</t>
  </si>
  <si>
    <t>Javier Bardem</t>
  </si>
  <si>
    <t>The Hangover Part III</t>
  </si>
  <si>
    <t>https://en.wikipedia.org/wiki/The_Hangover_Part_III</t>
  </si>
  <si>
    <t>Todd Phillips</t>
  </si>
  <si>
    <t>Justin Bartha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</si>
  <si>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</si>
  <si>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</si>
  <si>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</si>
  <si>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</si>
  <si>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</si>
  <si>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</si>
  <si>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Heat</t>
  </si>
  <si>
    <t>https://en.wikipedia.org/wiki/The_Heat_(film)</t>
  </si>
  <si>
    <t>Kaitlin Olson</t>
  </si>
  <si>
    <t>Demian Bichir</t>
  </si>
  <si>
    <t>The Hobbit: The Battle of the Five Armies</t>
  </si>
  <si>
    <t>https://en.wikipedia.org/wiki/The_Hobbit:_The_Battle_of_the_Five_Armies</t>
  </si>
  <si>
    <t>Ian McKellen</t>
  </si>
  <si>
    <t>Martin Freeman</t>
  </si>
  <si>
    <t>The Host</t>
  </si>
  <si>
    <t>https://en.wikipedia.org/wiki/The_Host_(2013_film)</t>
  </si>
  <si>
    <t>Andrew Niccol</t>
  </si>
  <si>
    <t>Max Irons</t>
  </si>
  <si>
    <t>Jake Abel</t>
  </si>
  <si>
    <t>Diane Kruger</t>
  </si>
  <si>
    <t>The Hundred-Foot Journey</t>
  </si>
  <si>
    <t>https://en.wikipedia.org/wiki/The_Hundred-Foot_Journey_(film)</t>
  </si>
  <si>
    <t>Manish Dayal</t>
  </si>
  <si>
    <t>The Hunger Games</t>
  </si>
  <si>
    <t>https://en.wikipedia.org/wiki/The_Hunger_Games_(film)</t>
  </si>
  <si>
    <t>Wes Bentley</t>
  </si>
  <si>
    <t>The Hunger Games: Mockingjay – Part 1</t>
  </si>
  <si>
    <t>https://en.wikipedia.org/wiki/The_Hunger_Games:_Mockingjay_%25E2%2580%2593_Part_1</t>
  </si>
  <si>
    <t>Donald Sutherland</t>
  </si>
  <si>
    <t>The Hunger Games: Mockingjay – Part 2</t>
  </si>
  <si>
    <t>https://en.wikipedia.org/wiki/The_Hunger_Games:_Mockingjay_%25E2%2580%2593_Part_2</t>
  </si>
  <si>
    <t>The Huntsman: Winter's War</t>
  </si>
  <si>
    <t>https://en.wikipedia.org/wiki/The_Huntsman:_Winter%2527s_War</t>
  </si>
  <si>
    <t>Cedric Nicolas-Troyan</t>
  </si>
  <si>
    <t>Nick Frost</t>
  </si>
  <si>
    <t>The Iceman</t>
  </si>
  <si>
    <t>https://en.wikipedia.org/wiki/The_Iceman_(film)</t>
  </si>
  <si>
    <t>Morgan Land (screenplay)</t>
  </si>
  <si>
    <t>Winona Ryder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</si>
  <si>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</si>
  <si>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</si>
  <si>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</si>
  <si>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</si>
  <si>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</si>
  <si>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</si>
  <si>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The Imitation Game</t>
  </si>
  <si>
    <t>https://en.wikipedia.org/wiki/The_Imitation_Game</t>
  </si>
  <si>
    <t>Morten Tyldum</t>
  </si>
  <si>
    <t>Keira Knightley</t>
  </si>
  <si>
    <t>Rory Kinnear</t>
  </si>
  <si>
    <t>Allen Leech</t>
  </si>
  <si>
    <t>The Impossible</t>
  </si>
  <si>
    <t>https://en.wikipedia.org/wiki/The_Impossible_(2012_film)</t>
  </si>
  <si>
    <t>Juan Antonio Bayona</t>
  </si>
  <si>
    <t>The Incredible Burt Wonderstone</t>
  </si>
  <si>
    <t>https://en.wikipedia.org/wiki/The_Incredible_Burt_Wonderstone</t>
  </si>
  <si>
    <t>Don Scardino</t>
  </si>
  <si>
    <t>The Infiltrator</t>
  </si>
  <si>
    <t>https://en.wikipedia.org/wiki/The_Infiltrator_(2016_film)</t>
  </si>
  <si>
    <t>The Intern</t>
  </si>
  <si>
    <t>https://en.wikipedia.org/wiki/The_Intern_(2015_film)</t>
  </si>
  <si>
    <t>Nancy Meyers</t>
  </si>
  <si>
    <t>Anders Holm</t>
  </si>
  <si>
    <t>The Internship</t>
  </si>
  <si>
    <t>https://en.wikipedia.org/wiki/The_Internship</t>
  </si>
  <si>
    <t>Vince Vaughn</t>
  </si>
  <si>
    <t>Jessica Szohr</t>
  </si>
  <si>
    <t>The Interview</t>
  </si>
  <si>
    <t>https://en.wikipedia.org/wiki/The_Interview_(2014_film)</t>
  </si>
  <si>
    <t>Evan Goldberg</t>
  </si>
  <si>
    <t>James Franco</t>
  </si>
  <si>
    <t>The Judge</t>
  </si>
  <si>
    <t>https://en.wikipedia.org/wiki/The_Judge_(2014_film)</t>
  </si>
  <si>
    <t>David Dobkin</t>
  </si>
  <si>
    <t>Robert Duvall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</si>
  <si>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</si>
  <si>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</si>
  <si>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</si>
  <si>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</si>
  <si>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</si>
  <si>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</si>
  <si>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</si>
  <si>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</si>
  <si>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</si>
  <si>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</si>
  <si>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</si>
  <si>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</si>
  <si>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</si>
  <si>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</si>
  <si>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The Last Stand</t>
  </si>
  <si>
    <t>https://en.wikipedia.org/wiki/The_Last_Stand_(2013_film)</t>
  </si>
  <si>
    <t>Kim Ji-woon</t>
  </si>
  <si>
    <t>Jaimie Alexander</t>
  </si>
  <si>
    <t>The Last Witch Hunter</t>
  </si>
  <si>
    <t>https://en.wikipedia.org/wiki/The_Last_Witch_Hunter</t>
  </si>
  <si>
    <t>Breck Eisner</t>
  </si>
  <si>
    <t>Rose Leslie</t>
  </si>
  <si>
    <t>Elijah Wood</t>
  </si>
  <si>
    <t>The Lazarus Effect</t>
  </si>
  <si>
    <t>https://en.wikipedia.org/wiki/The_Lazarus_Effect_(2015_film)</t>
  </si>
  <si>
    <t>David Gelb</t>
  </si>
  <si>
    <t>Donald Glover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</si>
  <si>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</si>
  <si>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</si>
  <si>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</si>
  <si>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</si>
  <si>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</si>
  <si>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</si>
  <si>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</si>
  <si>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</si>
  <si>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Legend of Tarzan</t>
  </si>
  <si>
    <t>https://en.wikipedia.org/wiki/The_Legend_of_Tarzan_(film)</t>
  </si>
  <si>
    <t>David Yates</t>
  </si>
  <si>
    <t>Djimon Hounsou</t>
  </si>
  <si>
    <t>The Lego Movie</t>
  </si>
  <si>
    <t>https://en.wikipedia.org/wiki/The_Lego_Movie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</si>
  <si>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</si>
  <si>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</si>
  <si>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</si>
  <si>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</si>
  <si>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</si>
  <si>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</si>
  <si>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</si>
  <si>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</si>
  <si>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</si>
  <si>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</si>
  <si>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</si>
  <si>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</si>
  <si>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</si>
  <si>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</si>
  <si>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The Man from U.N.C.L.E.</t>
  </si>
  <si>
    <t>https://en.wikipedia.org/wiki/The_Man_from_U.N.C.L.E._(film)</t>
  </si>
  <si>
    <t>Guy Ritchie</t>
  </si>
  <si>
    <t>Elizabeth Debicki</t>
  </si>
  <si>
    <t>The Man with the Iron Fists</t>
  </si>
  <si>
    <t>https://en.wikipedia.org/wiki/The_Man_with_the_Iron_Fists</t>
  </si>
  <si>
    <t>Lucy Liu</t>
  </si>
  <si>
    <t>David Bautista</t>
  </si>
  <si>
    <t>Byron Mann</t>
  </si>
  <si>
    <t>The Martian</t>
  </si>
  <si>
    <t>https://en.wikipedia.org/wiki/The_Martian_(film)</t>
  </si>
  <si>
    <t>The Master</t>
  </si>
  <si>
    <t>https://en.wikipedia.org/wiki/The_Master_(2012_film)</t>
  </si>
  <si>
    <t>Paul Thomas Anderson</t>
  </si>
  <si>
    <t>Jesse Plemons</t>
  </si>
  <si>
    <t>David Warshofsky</t>
  </si>
  <si>
    <t>The Maze Runner</t>
  </si>
  <si>
    <t>https://en.wikipedia.org/wiki/The_Maze_Runner_(film)</t>
  </si>
  <si>
    <t>Will Poulter</t>
  </si>
  <si>
    <t>Aml Ameen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</si>
  <si>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</si>
  <si>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</si>
  <si>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</si>
  <si>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</si>
  <si>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</si>
  <si>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</si>
  <si>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</si>
  <si>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</si>
  <si>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The Monuments Men</t>
  </si>
  <si>
    <t>https://en.wikipedia.org/wiki/The_Monuments_Men</t>
  </si>
  <si>
    <t>Jean Dujardin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</si>
  <si>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</si>
  <si>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</si>
  <si>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</si>
  <si>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</si>
  <si>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</si>
  <si>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</si>
  <si>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</si>
  <si>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The Night Before</t>
  </si>
  <si>
    <t>https://en.wikipedia.org/wiki/The_Night_Before_(2015_film)</t>
  </si>
  <si>
    <t>Jonathan Levine</t>
  </si>
  <si>
    <t>The November Man</t>
  </si>
  <si>
    <t>https://en.wikipedia.org/wiki/The_November_Man</t>
  </si>
  <si>
    <t>Roger Donaldson</t>
  </si>
  <si>
    <t>Bill Smitrovich</t>
  </si>
  <si>
    <t>Will Patton</t>
  </si>
  <si>
    <t>The Nut Job</t>
  </si>
  <si>
    <t>https://en.wikipedia.org/wiki/The_Nut_Job</t>
  </si>
  <si>
    <t>Peter Lepeniotis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</si>
  <si>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</si>
  <si>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</si>
  <si>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</si>
  <si>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</si>
  <si>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</si>
  <si>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</si>
  <si>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</si>
  <si>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</si>
  <si>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Other Woman</t>
  </si>
  <si>
    <t>https://en.wikipedia.org/wiki/The_Other_Woman_(2014_film)</t>
  </si>
  <si>
    <t>Nick Cassavetes</t>
  </si>
  <si>
    <t>Kate Upton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</si>
  <si>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</si>
  <si>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</si>
  <si>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</si>
  <si>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</si>
  <si>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</si>
  <si>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</si>
  <si>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</si>
  <si>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The Perfect Guy</t>
  </si>
  <si>
    <t>https://en.wikipedia.org/wiki/The_Perfect_Guy_(2015_film)</t>
  </si>
  <si>
    <t>David M. Rosenthal</t>
  </si>
  <si>
    <t>Sanaa Lathan</t>
  </si>
  <si>
    <t>Michael Ealy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</si>
  <si>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</si>
  <si>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</si>
  <si>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</si>
  <si>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</si>
  <si>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</si>
  <si>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</si>
  <si>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</si>
  <si>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</si>
  <si>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Perks of Being a Wallflower</t>
  </si>
  <si>
    <t>https://en.wikipedia.org/wiki/The_Perks_of_Being_a_Wallflower_(film)</t>
  </si>
  <si>
    <t>Stephen Chbosky</t>
  </si>
  <si>
    <t>Nina Dobrev</t>
  </si>
  <si>
    <t>Johnny Simmons</t>
  </si>
  <si>
    <t>The Pirates! Band of Misfits</t>
  </si>
  <si>
    <t>https://en.wikipedia.org/wiki/The_Pirates!_In_an_Adventure_with_Scientists_(film)</t>
  </si>
  <si>
    <t>Peter Lord</t>
  </si>
  <si>
    <t>Jeff Newitt</t>
  </si>
  <si>
    <t>Imelda Staunton</t>
  </si>
  <si>
    <t>David Tennant</t>
  </si>
  <si>
    <t>The Place Beyond the Pines</t>
  </si>
  <si>
    <t>https://en.wikipedia.org/wiki/The_Place_Beyond_the_Pines</t>
  </si>
  <si>
    <t>Derek Cianfrance</t>
  </si>
  <si>
    <t>Eva Mendes</t>
  </si>
  <si>
    <t>The Possession</t>
  </si>
  <si>
    <t>https://en.wikipedia.org/wiki/The_Possession_(2012_film)</t>
  </si>
  <si>
    <t>Ole Bornedal</t>
  </si>
  <si>
    <t>Jeffrey Dean Morgan</t>
  </si>
  <si>
    <t>The Purge</t>
  </si>
  <si>
    <t>https://en.wikipedia.org/wiki/The_Purge</t>
  </si>
  <si>
    <t>James DeMonaco</t>
  </si>
  <si>
    <t>Max Burkholder</t>
  </si>
  <si>
    <t>Tony Oller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</si>
  <si>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</si>
  <si>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</si>
  <si>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</si>
  <si>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</si>
  <si>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</si>
  <si>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Raid 2</t>
  </si>
  <si>
    <t>https://en.wikipedia.org/wiki/The_Raid_2</t>
  </si>
  <si>
    <t>Gareth Evans</t>
  </si>
  <si>
    <t>Iko Uwais</t>
  </si>
  <si>
    <t>Tio Pakusadewo</t>
  </si>
  <si>
    <t>Arifin Putra</t>
  </si>
  <si>
    <t>Julie Estelle</t>
  </si>
  <si>
    <t>Alex Abbad</t>
  </si>
  <si>
    <t>The Raid: Redemption ₪</t>
  </si>
  <si>
    <t>https://en.wikipedia.org/wiki/The_Raid:_Redemption</t>
  </si>
  <si>
    <t>Doni Alamsyah</t>
  </si>
  <si>
    <t>Joe Taslim</t>
  </si>
  <si>
    <t>Yayan Ruhian</t>
  </si>
  <si>
    <t>Ray Sahetapy</t>
  </si>
  <si>
    <t>The Raven</t>
  </si>
  <si>
    <t>https://en.wikipedia.org/wiki/The_Raven_(2012_film)</t>
  </si>
  <si>
    <t>James McTeigue</t>
  </si>
  <si>
    <t>Oliver Jackson-Cohen</t>
  </si>
  <si>
    <t>The Revenant</t>
  </si>
  <si>
    <t>https://en.wikipedia.org/wiki/The_Revenant_(2015_film)</t>
  </si>
  <si>
    <t>Alejandro G. Iñárritu</t>
  </si>
  <si>
    <t>The Second Best Exotic Marigold Hotel</t>
  </si>
  <si>
    <t>https://en.wikipedia.org/wiki/The_Second_Best_Exotic_Marigold_Hotel</t>
  </si>
  <si>
    <t>Richard Gere</t>
  </si>
  <si>
    <t>Celia Imrie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</si>
  <si>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</si>
  <si>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</si>
  <si>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</si>
  <si>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</si>
  <si>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</si>
  <si>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</si>
  <si>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</si>
  <si>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</si>
  <si>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</si>
  <si>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</si>
  <si>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</si>
  <si>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Secret World of Arrietty</t>
  </si>
  <si>
    <t>https://en.wikipedia.org/wiki/Arrietty</t>
  </si>
  <si>
    <t>Gary Rydstrom</t>
  </si>
  <si>
    <t>Carol Burnett</t>
  </si>
  <si>
    <t>Bridgit Mendler</t>
  </si>
  <si>
    <t>The Shallows</t>
  </si>
  <si>
    <t>https://en.wikipedia.org/wiki/The_Shallows_(film)</t>
  </si>
  <si>
    <t>Óscar Jaenada</t>
  </si>
  <si>
    <t>The Signal</t>
  </si>
  <si>
    <t>https://en.wikipedia.org/wiki/The_Signal_(2014_film)</t>
  </si>
  <si>
    <t>William Eubank</t>
  </si>
  <si>
    <t>Sarah Clarke</t>
  </si>
  <si>
    <t>Laurence Fishburne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</si>
  <si>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</si>
  <si>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</si>
  <si>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</si>
  <si>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</si>
  <si>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</si>
  <si>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</si>
  <si>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The Smurfs 2</t>
  </si>
  <si>
    <t>https://en.wikipedia.org/wiki/The_Smurfs_2</t>
  </si>
  <si>
    <t>Raja Gosnell</t>
  </si>
  <si>
    <t>Jayma Mays</t>
  </si>
  <si>
    <t>Hank Azaria</t>
  </si>
  <si>
    <t>Tim Gunn</t>
  </si>
  <si>
    <t>The Spectacular Now</t>
  </si>
  <si>
    <t>https://en.wikipedia.org/wiki/The_Spectacular_Now</t>
  </si>
  <si>
    <t>James Ponsoldt</t>
  </si>
  <si>
    <t>Kaitlyn Dever</t>
  </si>
  <si>
    <t>Dayo Okeniyi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</si>
  <si>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</si>
  <si>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</si>
  <si>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</si>
  <si>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</si>
  <si>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</si>
  <si>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</si>
  <si>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Tom Kenny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</si>
  <si>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</si>
  <si>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</si>
  <si>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</si>
  <si>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</si>
  <si>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</si>
  <si>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</si>
  <si>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The Theory of Everything</t>
  </si>
  <si>
    <t>https://en.wikipedia.org/wiki/The_Theory_of_Everything_(2014_film)</t>
  </si>
  <si>
    <t>James Marsh</t>
  </si>
  <si>
    <t>Felicity Jones</t>
  </si>
  <si>
    <t>The Three Stooges</t>
  </si>
  <si>
    <t>https://en.wikipedia.org/wiki/The_Three_Stooges_(film)</t>
  </si>
  <si>
    <t>Chris Diamantopoulos</t>
  </si>
  <si>
    <t>Sean Hayes</t>
  </si>
  <si>
    <t>Will Sasso</t>
  </si>
  <si>
    <t>Jane Lynch</t>
  </si>
  <si>
    <t>Larry David</t>
  </si>
  <si>
    <t>The Transporter Refueled</t>
  </si>
  <si>
    <t>https://en.wikipedia.org/wiki/The_Transporter_Refueled</t>
  </si>
  <si>
    <t>Ray Stevenson</t>
  </si>
  <si>
    <t>Loan Chabanol</t>
  </si>
  <si>
    <t>Gabriella Wright</t>
  </si>
  <si>
    <t>The Twilight Saga: Breaking Dawn – Part 2</t>
  </si>
  <si>
    <t>https://en.wikipedia.org/wiki/The_Twilight_Saga:_Breaking_Dawn_%25E2%2580%2593_Part_2</t>
  </si>
  <si>
    <t>Robert Pattinson</t>
  </si>
  <si>
    <t>Michael Sheen</t>
  </si>
  <si>
    <t>Mackenzie Foy</t>
  </si>
  <si>
    <t>Billy Burke</t>
  </si>
  <si>
    <t>The Vatican Tapes</t>
  </si>
  <si>
    <t>https://en.wikipedia.org/wiki/The_Vatican_Tapes</t>
  </si>
  <si>
    <t>Kathleen Robertson</t>
  </si>
  <si>
    <t>Dougray Scott</t>
  </si>
  <si>
    <t>John Patrick Amedori</t>
  </si>
  <si>
    <t>The Visit</t>
  </si>
  <si>
    <t>https://en.wikipedia.org/wiki/The_Visit_(2015_American_film)</t>
  </si>
  <si>
    <t>Ed Oxenbould</t>
  </si>
  <si>
    <t>Deanna Dunagan</t>
  </si>
  <si>
    <t>Peter McRobbie</t>
  </si>
  <si>
    <t>Olivia DeJonge</t>
  </si>
  <si>
    <t>The Walk</t>
  </si>
  <si>
    <t>https://en.wikipedia.org/wiki/The_Walk_(2015_film)</t>
  </si>
  <si>
    <t>Charlotte Le Bon</t>
  </si>
  <si>
    <t>The Watch</t>
  </si>
  <si>
    <t>https://en.wikipedia.org/wiki/The_Watch_(2012_film)</t>
  </si>
  <si>
    <t>Richard Ayoade</t>
  </si>
  <si>
    <t>The Water Diviner</t>
  </si>
  <si>
    <t>https://en.wikipedia.org/wiki/The_Water_Diviner</t>
  </si>
  <si>
    <t>Cem Yılmaz</t>
  </si>
  <si>
    <t>Miyavi</t>
  </si>
  <si>
    <t>Yılmaz Erdoğan</t>
  </si>
  <si>
    <t>The Way, Way Back</t>
  </si>
  <si>
    <t>https://en.wikipedia.org/wiki/The_Way,_Way_Back</t>
  </si>
  <si>
    <t>Nat Faxon</t>
  </si>
  <si>
    <t>Jim Rash</t>
  </si>
  <si>
    <t>AnnaSophia Robb</t>
  </si>
  <si>
    <t>The Wedding Ringer</t>
  </si>
  <si>
    <t>https://en.wikipedia.org/wiki/The_Wedding_Ringer</t>
  </si>
  <si>
    <t>Jeremy Garelick</t>
  </si>
  <si>
    <t>Kaley Cuoco</t>
  </si>
  <si>
    <t>Olivia Thirlby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</si>
  <si>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</si>
  <si>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</si>
  <si>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</si>
  <si>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</si>
  <si>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</si>
  <si>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</si>
  <si>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</si>
  <si>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</si>
  <si>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</si>
  <si>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</si>
  <si>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</si>
  <si>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</si>
  <si>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The Woman in Black</t>
  </si>
  <si>
    <t>https://en.wikipedia.org/wiki/The_Woman_in_Black_(2012_film)</t>
  </si>
  <si>
    <t>James Watkins</t>
  </si>
  <si>
    <t>Daniel Radcliffe</t>
  </si>
  <si>
    <t>Liz White</t>
  </si>
  <si>
    <t>Alisa Khazanova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</si>
  <si>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</si>
  <si>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</si>
  <si>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</si>
  <si>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</si>
  <si>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</si>
  <si>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</si>
  <si>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</si>
  <si>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</si>
  <si>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The World's End</t>
  </si>
  <si>
    <t>https://en.wikipedia.org/wiki/The_World%2527s_End_(film)</t>
  </si>
  <si>
    <t>Edgar Wright</t>
  </si>
  <si>
    <t>Paddy Considine</t>
  </si>
  <si>
    <t>Eddie Marsan</t>
  </si>
  <si>
    <t>The Young Messiah</t>
  </si>
  <si>
    <t>https://en.wikipedia.org/wiki/The_Young_Messiah_(film)</t>
  </si>
  <si>
    <t>Cyrus Nowrasteh</t>
  </si>
  <si>
    <t>Adam Greaves-Neal</t>
  </si>
  <si>
    <t>Think Like a Man</t>
  </si>
  <si>
    <t>https://en.wikipedia.org/wiki/Think_Like_a_Man</t>
  </si>
  <si>
    <t>Meagan Good</t>
  </si>
  <si>
    <t>This Is the End</t>
  </si>
  <si>
    <t>https://en.wikipedia.org/wiki/This_Is_the_End</t>
  </si>
  <si>
    <t>Craig Robinson</t>
  </si>
  <si>
    <t>This Is Where I Leave You</t>
  </si>
  <si>
    <t>https://en.wikipedia.org/wiki/This_Is_Where_I_Leave_You</t>
  </si>
  <si>
    <t>Jane Fonda</t>
  </si>
  <si>
    <t>This Means War</t>
  </si>
  <si>
    <t>https://en.wikipedia.org/wiki/This_Means_War_(film)</t>
  </si>
  <si>
    <t>McG</t>
  </si>
  <si>
    <t>Til Schweiger</t>
  </si>
  <si>
    <t>Top Five</t>
  </si>
  <si>
    <t>https://en.wikipedia.org/wiki/Top_Five</t>
  </si>
  <si>
    <t>Genevieve Angelson</t>
  </si>
  <si>
    <t>Rachel Feinstein</t>
  </si>
  <si>
    <t>Dan Naturman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</si>
  <si>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</si>
  <si>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</si>
  <si>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</si>
  <si>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</si>
  <si>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</si>
  <si>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</si>
  <si>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</si>
  <si>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Total Recall</t>
  </si>
  <si>
    <t>https://en.wikipedia.org/wiki/Total_Recall_(2012_film)</t>
  </si>
  <si>
    <t>Len Wiseman</t>
  </si>
  <si>
    <t>Jessica Biel</t>
  </si>
  <si>
    <t>Kate Beckinsale</t>
  </si>
  <si>
    <t>Trance</t>
  </si>
  <si>
    <t>https://en.wikipedia.org/wiki/Trance_(2013_film)</t>
  </si>
  <si>
    <t>James McAvoy</t>
  </si>
  <si>
    <t>Tuppence Middleton</t>
  </si>
  <si>
    <t>Lee Nicholas Harris</t>
  </si>
  <si>
    <t>Transcendence</t>
  </si>
  <si>
    <t>https://en.wikipedia.org/wiki/Transcendence_(2014_film)</t>
  </si>
  <si>
    <t>Wally Pfister</t>
  </si>
  <si>
    <t>Paul Bettany</t>
  </si>
  <si>
    <t>Triple 9</t>
  </si>
  <si>
    <t>https://en.wikipedia.org/wiki/Triple_9</t>
  </si>
  <si>
    <t>John Hillcoat</t>
  </si>
  <si>
    <t>Trouble with the Curve</t>
  </si>
  <si>
    <t>https://en.wikipedia.org/wiki/Trouble_with_the_Curve</t>
  </si>
  <si>
    <t>Robert Lorenz</t>
  </si>
  <si>
    <t>Matthew Lillard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</si>
  <si>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</si>
  <si>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</si>
  <si>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</si>
  <si>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</si>
  <si>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</si>
  <si>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</si>
  <si>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</si>
  <si>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Turbo</t>
  </si>
  <si>
    <t>https://en.wikipedia.org/wiki/Turbo_(film)</t>
  </si>
  <si>
    <t>David Soren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</si>
  <si>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</si>
  <si>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</si>
  <si>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</si>
  <si>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</si>
  <si>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</si>
  <si>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</si>
  <si>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</si>
  <si>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Unbroken</t>
  </si>
  <si>
    <t>https://en.wikipedia.org/wiki/Unbroken_(film)</t>
  </si>
  <si>
    <t>Unfinished Business</t>
  </si>
  <si>
    <t>https://en.wikipedia.org/wiki/Unfinished_Business_(2015_film)</t>
  </si>
  <si>
    <t>Ken Scott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</si>
  <si>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</si>
  <si>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</si>
  <si>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</si>
  <si>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</si>
  <si>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</si>
  <si>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</si>
  <si>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</si>
  <si>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Vacation</t>
  </si>
  <si>
    <t>https://en.wikipedia.org/wiki/Vacation_(2015_film)</t>
  </si>
  <si>
    <t>John Francis Daley</t>
  </si>
  <si>
    <t>Jonathan Goldstein</t>
  </si>
  <si>
    <t>Vampire Academy</t>
  </si>
  <si>
    <t>https://en.wikipedia.org/wiki/Vampire_Academy_(film)</t>
  </si>
  <si>
    <t>Mark Waters</t>
  </si>
  <si>
    <t>Zoey Deutch</t>
  </si>
  <si>
    <t>Danila Kozlovsky</t>
  </si>
  <si>
    <t>Veronica Mars</t>
  </si>
  <si>
    <t>https://en.wikipedia.org/wiki/Veronica_Mars_(film)</t>
  </si>
  <si>
    <t>Rob Thomas</t>
  </si>
  <si>
    <t>Jason Dohring</t>
  </si>
  <si>
    <t>Ryan Hansen</t>
  </si>
  <si>
    <t>Francis Capra</t>
  </si>
  <si>
    <t>Victor Frankenstein</t>
  </si>
  <si>
    <t>https://en.wikipedia.org/wiki/Victor_Frankenstein_(film)</t>
  </si>
  <si>
    <t>Paul McGuigan</t>
  </si>
  <si>
    <t>Jessica Brown Findlay</t>
  </si>
  <si>
    <t>Andrew Scott</t>
  </si>
  <si>
    <t>Wanderlust</t>
  </si>
  <si>
    <t>https://en.wikipedia.org/wiki/Wanderlust_(2012_film)</t>
  </si>
  <si>
    <t>David Wain</t>
  </si>
  <si>
    <t>Malin Akerman</t>
  </si>
  <si>
    <t>Justin Theroux</t>
  </si>
  <si>
    <t>Ken Marino</t>
  </si>
  <si>
    <t>War Dogs</t>
  </si>
  <si>
    <t>https://en.wikipedia.org/wiki/War_Dogs_(2016_film)</t>
  </si>
  <si>
    <t>J. B. Blanc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</si>
  <si>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</si>
  <si>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</si>
  <si>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</si>
  <si>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</si>
  <si>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</si>
  <si>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</si>
  <si>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</si>
  <si>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Warcraft</t>
  </si>
  <si>
    <t>https://en.wikipedia.org/wiki/Warcraft_(film)</t>
  </si>
  <si>
    <t>Duncan Jones</t>
  </si>
  <si>
    <t>Travis Fimmel</t>
  </si>
  <si>
    <t>Warm Bodies</t>
  </si>
  <si>
    <t>https://en.wikipedia.org/wiki/Warm_Bodies_(film)</t>
  </si>
  <si>
    <t>Analeigh Tipton</t>
  </si>
  <si>
    <t>What Maisie Knew</t>
  </si>
  <si>
    <t>https://en.wikipedia.org/wiki/What_Maisie_Knew_(film)</t>
  </si>
  <si>
    <t>Scott McGehee</t>
  </si>
  <si>
    <t>David Siegel</t>
  </si>
  <si>
    <t>Steve Coogan</t>
  </si>
  <si>
    <t>Joanna Vanderham</t>
  </si>
  <si>
    <t>Onata Aprile</t>
  </si>
  <si>
    <t>What to Expect When You're Expecting</t>
  </si>
  <si>
    <t>https://en.wikipedia.org/wiki/What_to_Expect_When_You%2527re_Expecting_(film)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</si>
  <si>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</si>
  <si>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</si>
  <si>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</si>
  <si>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</si>
  <si>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</si>
  <si>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</si>
  <si>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</si>
  <si>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Whiplash</t>
  </si>
  <si>
    <t>https://en.wikipedia.org/wiki/Whiplash_(2014_film)</t>
  </si>
  <si>
    <t>Damien Chazelle</t>
  </si>
  <si>
    <t>Melissa Benoist</t>
  </si>
  <si>
    <t>Whiskey Tango Foxtrot</t>
  </si>
  <si>
    <t>https://en.wikipedia.org/wiki/Whiskey_Tango_Foxtrot_(film)</t>
  </si>
  <si>
    <t>Glenn Ficarra</t>
  </si>
  <si>
    <t>John Requa</t>
  </si>
  <si>
    <t>White House Down</t>
  </si>
  <si>
    <t>https://en.wikipedia.org/wiki/White_House_Down</t>
  </si>
  <si>
    <t>Maggie Gyllenhaal</t>
  </si>
  <si>
    <t>James Woods</t>
  </si>
  <si>
    <t>Wild</t>
  </si>
  <si>
    <t>https://en.wikipedia.org/wiki/Wild_(2014_film)</t>
  </si>
  <si>
    <t>Jean-Marc Vallée</t>
  </si>
  <si>
    <t>Gaby Hoffmann</t>
  </si>
  <si>
    <t>Charles Baker</t>
  </si>
  <si>
    <t>Winter's Tale</t>
  </si>
  <si>
    <t>https://en.wikipedia.org/wiki/Winter%2527s_Tale_(film)</t>
  </si>
  <si>
    <t>Akiva Goldsman</t>
  </si>
  <si>
    <t>Wish I Was Here</t>
  </si>
  <si>
    <t>https://en.wikipedia.org/wiki/Wish_I_Was_Here</t>
  </si>
  <si>
    <t>Zach Braff</t>
  </si>
  <si>
    <t>Mandy Patinkin</t>
  </si>
  <si>
    <t>Ashley Greene</t>
  </si>
  <si>
    <t>Woman in Gold</t>
  </si>
  <si>
    <t>https://en.wikipedia.org/wiki/Woman_in_Gold_(film)</t>
  </si>
  <si>
    <t>Simon Curtis</t>
  </si>
  <si>
    <t>Tatiana Maslany</t>
  </si>
  <si>
    <t>Won't Back Down</t>
  </si>
  <si>
    <t>https://en.wikipedia.org/wiki/Won%2527t_Back_Down_(film)</t>
  </si>
  <si>
    <t>Daniel Barnz</t>
  </si>
  <si>
    <t>Holly Hunter</t>
  </si>
  <si>
    <t>Rosie Perez</t>
  </si>
  <si>
    <t>Woodlawn</t>
  </si>
  <si>
    <t>https://en.wikipedia.org/wiki/Woodlawn_(film)</t>
  </si>
  <si>
    <t>The Erwin Brothers</t>
  </si>
  <si>
    <t>Nic Bishop</t>
  </si>
  <si>
    <t>Caleb Castille</t>
  </si>
  <si>
    <t>World War Z</t>
  </si>
  <si>
    <t>https://en.wikipedia.org/wiki/World_War_Z_(film)</t>
  </si>
  <si>
    <t>Marc Forster</t>
  </si>
  <si>
    <t>Daniella Kertesz</t>
  </si>
  <si>
    <t>Wrath of the Titans</t>
  </si>
  <si>
    <t>https://en.wikipedia.org/wiki/Wrath_of_the_Titans</t>
  </si>
  <si>
    <t>X-Men: Apocalypse</t>
  </si>
  <si>
    <t>https://en.wikipedia.org/wiki/X-Men:_Apocalypse</t>
  </si>
  <si>
    <t>Bryan Singer</t>
  </si>
  <si>
    <t>X-Men: Days of Future Past</t>
  </si>
  <si>
    <t>https://en.wikipedia.org/wiki/X-Men:_Days_of_Future_Past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</si>
  <si>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</si>
  <si>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</si>
  <si>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</si>
  <si>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</si>
  <si>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</si>
  <si>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</si>
  <si>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</si>
  <si>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</si>
  <si>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Zero Dark Thirty</t>
  </si>
  <si>
    <t>https://en.wikipedia.org/wiki/Zero_Dark_Thirty</t>
  </si>
  <si>
    <t>Kathryn Bigelow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</si>
  <si>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</si>
  <si>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</si>
  <si>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</si>
  <si>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</si>
  <si>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</si>
  <si>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</si>
  <si>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</si>
  <si>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</si>
  <si>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Zoolander 2</t>
  </si>
  <si>
    <t>https://en.wikipedia.org/wiki/Zoolander_2</t>
  </si>
  <si>
    <t>Christine Taylor</t>
  </si>
  <si>
    <t>Penélope Cruz</t>
  </si>
  <si>
    <t>Standard Deviation</t>
  </si>
  <si>
    <t>Mean</t>
  </si>
  <si>
    <t>Median</t>
  </si>
  <si>
    <t>Mode</t>
  </si>
  <si>
    <t>Variable Name</t>
  </si>
  <si>
    <t>Minimum</t>
  </si>
  <si>
    <t>Q1</t>
  </si>
  <si>
    <t>Q2</t>
  </si>
  <si>
    <t>Q3</t>
  </si>
  <si>
    <t>Budget</t>
  </si>
  <si>
    <t xml:space="preserve"> Revenue</t>
  </si>
  <si>
    <t>Revenue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</si>
</sst>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&quot;-&quot;mm&quot;-&quot;dd"/>
    <numFmt numFmtId="165" formatCode="###0.00"/>
    <numFmt numFmtId="166" formatCode="&quot;$&quot;#,##0.00"/>
    <numFmt numFmtId="167" formatCode="m/d/yyyy h:mm:ss"/>
    <numFmt numFmtId="168" formatCode="M/d/yyyy"/>
    <numFmt numFmtId="169" formatCode="#,##0.0000"/>
  </numFmts>
  <fonts count="6">
    <font>
      <sz val="10.0"/>
      <color rgb="FF000000"/>
      <name val="Arial"/>
    </font>
    <font/>
    <font>
      <name val="Arial"/>
    </font>
    <font>
      <u/>
      <color rgb="FF1155CC"/>
      <name val="Arial"/>
    </font>
    <font>
      <color rgb="FF000000"/>
      <name val="Arial"/>
    </font>
    <font>
      <b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166" xfId="0" applyFont="1" applyNumberFormat="1"/>
    <xf borderId="0" fillId="0" fontId="1" numFmtId="167" xfId="0" applyFont="1" applyNumberFormat="1"/>
    <xf borderId="0" fillId="0" fontId="1" numFmtId="4" xfId="0" applyFont="1" applyNumberFormat="1"/>
    <xf borderId="0" fillId="0" fontId="1" numFmtId="168" xfId="0" applyFont="1" applyNumberFormat="1"/>
    <xf borderId="0" fillId="0" fontId="2" numFmtId="0" xfId="0" applyAlignment="1" applyFont="1">
      <alignment horizontal="left" readingOrder="0" shrinkToFit="0" vertical="bottom" wrapText="0"/>
    </xf>
    <xf borderId="0" fillId="0" fontId="2" numFmtId="164" xfId="0" applyAlignment="1" applyFont="1" applyNumberFormat="1">
      <alignment horizontal="left"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2" numFmtId="4" xfId="0" applyAlignment="1" applyFont="1" applyNumberFormat="1">
      <alignment horizontal="left" shrinkToFit="0" vertical="bottom" wrapText="0"/>
    </xf>
    <xf borderId="0" fillId="0" fontId="2" numFmtId="4" xfId="0" applyAlignment="1" applyFont="1" applyNumberFormat="1">
      <alignment horizontal="left" readingOrder="0" vertical="bottom"/>
    </xf>
    <xf borderId="0" fillId="0" fontId="1" numFmtId="4" xfId="0" applyAlignment="1" applyFont="1" applyNumberFormat="1">
      <alignment readingOrder="0"/>
    </xf>
    <xf borderId="0" fillId="0" fontId="2" numFmtId="0" xfId="0" applyAlignment="1" applyFont="1">
      <alignment shrinkToFit="0" vertical="bottom" wrapText="0"/>
    </xf>
    <xf borderId="0" fillId="0" fontId="2" numFmtId="164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2" numFmtId="4" xfId="0" applyAlignment="1" applyFont="1" applyNumberFormat="1">
      <alignment shrinkToFit="0" vertical="bottom" wrapText="0"/>
    </xf>
    <xf borderId="0" fillId="2" fontId="4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165" xfId="0" applyAlignment="1" applyFont="1" applyNumberFormat="1">
      <alignment horizontal="right" vertical="bottom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horizontal="right" shrinkToFit="0" vertical="bottom" wrapText="0"/>
    </xf>
    <xf borderId="0" fillId="0" fontId="1" numFmtId="169" xfId="0" applyAlignment="1" applyFont="1" applyNumberFormat="1">
      <alignment readingOrder="0"/>
    </xf>
    <xf borderId="0" fillId="0" fontId="2" numFmtId="49" xfId="0" applyAlignment="1" applyFont="1" applyNumberFormat="1">
      <alignment horizontal="left" readingOrder="0" shrinkToFit="0" vertical="bottom" wrapText="0"/>
    </xf>
    <xf borderId="0" fillId="0" fontId="2" numFmtId="49" xfId="0" applyAlignment="1" applyFont="1" applyNumberFormat="1">
      <alignment horizontal="left" shrinkToFit="0" vertical="bottom" wrapText="0"/>
    </xf>
    <xf borderId="0" fillId="2" fontId="2" numFmtId="4" xfId="0" applyAlignment="1" applyFont="1" applyNumberFormat="1">
      <alignment readingOrder="0" vertical="bottom"/>
    </xf>
    <xf borderId="0" fillId="0" fontId="2" numFmtId="0" xfId="0" applyAlignment="1" applyFont="1">
      <alignment readingOrder="0" shrinkToFit="0" vertical="bottom" wrapText="0"/>
    </xf>
    <xf borderId="0" fillId="2" fontId="4" numFmtId="0" xfId="0" applyAlignment="1" applyFont="1">
      <alignment readingOrder="0" vertical="bottom"/>
    </xf>
    <xf borderId="0" fillId="2" fontId="4" numFmtId="0" xfId="0" applyAlignment="1" applyFont="1">
      <alignment horizontal="left" vertical="bottom"/>
    </xf>
    <xf borderId="0" fillId="0" fontId="2" numFmtId="0" xfId="0" applyAlignment="1" applyFont="1">
      <alignment readingOrder="0" vertical="bottom"/>
    </xf>
    <xf borderId="0" fillId="0" fontId="5" numFmtId="0" xfId="0" applyAlignment="1" applyFont="1">
      <alignment horizontal="center"/>
    </xf>
    <xf borderId="0" fillId="0" fontId="5" numFmtId="166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166" xfId="0" applyAlignment="1" applyFont="1" applyNumberFormat="1">
      <alignment horizontal="center"/>
    </xf>
    <xf borderId="0" fillId="0" fontId="5" numFmtId="0" xfId="0" applyAlignment="1" applyFont="1">
      <alignment horizontal="center" readingOrder="0"/>
    </xf>
    <xf borderId="0" fillId="0" fontId="1" numFmtId="49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pivotCacheDefinition" Target="pivotCache/pivotCacheDefinition3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ser>
          <c:idx val="0"/>
          <c:order val="0"/>
          <c:tx>
            <c:strRef>
              <c:f>Dashboard!$B$1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Dashboard!$A$2:$A$6</c:f>
            </c:strRef>
          </c:cat>
          <c:val>
            <c:numRef>
              <c:f>Dashboard!$B$2:$B$6</c:f>
              <c:numCache/>
            </c:numRef>
          </c:val>
        </c:ser>
        <c:ser>
          <c:idx val="1"/>
          <c:order val="1"/>
          <c:tx>
            <c:strRef>
              <c:f>Dashboard!$C$1</c:f>
            </c:strRef>
          </c:tx>
          <c:spPr>
            <a:solidFill>
              <a:srgbClr val="DB4437">
                <a:alpha val="30000"/>
              </a:srgbClr>
            </a:solidFill>
            <a:ln cmpd="sng">
              <a:solidFill>
                <a:srgbClr val="DB4437"/>
              </a:solidFill>
            </a:ln>
          </c:spPr>
          <c:cat>
            <c:strRef>
              <c:f>Dashboard!$A$2:$A$6</c:f>
            </c:strRef>
          </c:cat>
          <c:val>
            <c:numRef>
              <c:f>Dashboard!$C$2:$C$6</c:f>
              <c:numCache/>
            </c:numRef>
          </c:val>
        </c:ser>
        <c:ser>
          <c:idx val="2"/>
          <c:order val="2"/>
          <c:tx>
            <c:strRef>
              <c:f>Dashboard!$D$1</c:f>
            </c:strRef>
          </c:tx>
          <c:spPr>
            <a:solidFill>
              <a:srgbClr val="F4B400">
                <a:alpha val="30000"/>
              </a:srgbClr>
            </a:solidFill>
            <a:ln cmpd="sng">
              <a:solidFill>
                <a:srgbClr val="F4B400"/>
              </a:solidFill>
            </a:ln>
          </c:spPr>
          <c:cat>
            <c:strRef>
              <c:f>Dashboard!$A$2:$A$6</c:f>
            </c:strRef>
          </c:cat>
          <c:val>
            <c:numRef>
              <c:f>Dashboard!$D$2:$D$6</c:f>
              <c:numCache/>
            </c:numRef>
          </c:val>
        </c:ser>
        <c:axId val="1097337406"/>
        <c:axId val="923869318"/>
      </c:areaChart>
      <c:catAx>
        <c:axId val="10973374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Release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23869318"/>
      </c:catAx>
      <c:valAx>
        <c:axId val="9238693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973374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Dashboard!$B$19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Dashboard!$A$20:$A$37</c:f>
            </c:strRef>
          </c:cat>
          <c:val>
            <c:numRef>
              <c:f>Dashboard!$B$20:$B$37</c:f>
              <c:numCache/>
            </c:numRef>
          </c:val>
        </c:ser>
        <c:ser>
          <c:idx val="1"/>
          <c:order val="1"/>
          <c:tx>
            <c:strRef>
              <c:f>Dashboard!$C$19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Dashboard!$A$20:$A$37</c:f>
            </c:strRef>
          </c:cat>
          <c:val>
            <c:numRef>
              <c:f>Dashboard!$C$20:$C$37</c:f>
              <c:numCache/>
            </c:numRef>
          </c:val>
        </c:ser>
        <c:ser>
          <c:idx val="2"/>
          <c:order val="2"/>
          <c:tx>
            <c:strRef>
              <c:f>Dashboard!$D$19</c:f>
            </c:strRef>
          </c:tx>
          <c:spPr>
            <a:solidFill>
              <a:srgbClr val="F4B400"/>
            </a:solidFill>
            <a:ln cmpd="sng">
              <a:solidFill>
                <a:srgbClr val="000000"/>
              </a:solidFill>
            </a:ln>
          </c:spPr>
          <c:cat>
            <c:strRef>
              <c:f>Dashboard!$A$20:$A$37</c:f>
            </c:strRef>
          </c:cat>
          <c:val>
            <c:numRef>
              <c:f>Dashboard!$D$20:$D$37</c:f>
              <c:numCache/>
            </c:numRef>
          </c:val>
        </c:ser>
        <c:overlap val="100"/>
        <c:axId val="979757575"/>
        <c:axId val="590466508"/>
      </c:barChart>
      <c:catAx>
        <c:axId val="979757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90466508"/>
      </c:catAx>
      <c:valAx>
        <c:axId val="5904665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797575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Percentage of Titles By Genre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Dashboard!$B$42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DB4437"/>
              </a:solidFill>
            </c:spPr>
          </c:dPt>
          <c:dPt>
            <c:idx val="2"/>
            <c:spPr>
              <a:solidFill>
                <a:srgbClr val="F4B400"/>
              </a:solidFill>
            </c:spPr>
          </c:dPt>
          <c:dPt>
            <c:idx val="3"/>
            <c:spPr>
              <a:solidFill>
                <a:srgbClr val="0F9D58"/>
              </a:solidFill>
            </c:spPr>
          </c:dPt>
          <c:dPt>
            <c:idx val="4"/>
            <c:spPr>
              <a:solidFill>
                <a:srgbClr val="FF6D00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AB30C4"/>
              </a:solidFill>
            </c:spPr>
          </c:dPt>
          <c:dPt>
            <c:idx val="7"/>
            <c:spPr>
              <a:solidFill>
                <a:srgbClr val="C1BC1F"/>
              </a:solidFill>
            </c:spPr>
          </c:dPt>
          <c:dPt>
            <c:idx val="8"/>
            <c:spPr>
              <a:solidFill>
                <a:srgbClr val="3949AB"/>
              </a:solidFill>
            </c:spPr>
          </c:dPt>
          <c:dPt>
            <c:idx val="9"/>
            <c:spPr>
              <a:solidFill>
                <a:srgbClr val="F975A8"/>
              </a:solidFill>
            </c:spPr>
          </c:dPt>
          <c:dPt>
            <c:idx val="10"/>
            <c:spPr>
              <a:solidFill>
                <a:srgbClr val="00695C"/>
              </a:solidFill>
            </c:spPr>
          </c:dPt>
          <c:dPt>
            <c:idx val="11"/>
            <c:spPr>
              <a:solidFill>
                <a:srgbClr val="C2185B"/>
              </a:solidFill>
            </c:spPr>
          </c:dPt>
          <c:dPt>
            <c:idx val="12"/>
            <c:spPr>
              <a:solidFill>
                <a:srgbClr val="4285F4"/>
              </a:solidFill>
            </c:spPr>
          </c:dPt>
          <c:dPt>
            <c:idx val="13"/>
            <c:spPr>
              <a:solidFill>
                <a:srgbClr val="DB4437"/>
              </a:solidFill>
            </c:spPr>
          </c:dPt>
          <c:dPt>
            <c:idx val="14"/>
            <c:spPr>
              <a:solidFill>
                <a:srgbClr val="F4B400"/>
              </a:solidFill>
            </c:spPr>
          </c:dPt>
          <c:dPt>
            <c:idx val="15"/>
            <c:spPr>
              <a:solidFill>
                <a:srgbClr val="0F9D58"/>
              </a:solidFill>
            </c:spPr>
          </c:dPt>
          <c:dPt>
            <c:idx val="16"/>
            <c:spPr>
              <a:solidFill>
                <a:srgbClr val="FF6D00"/>
              </a:solidFill>
            </c:spPr>
          </c:dPt>
          <c:dPt>
            <c:idx val="17"/>
            <c:spPr>
              <a:solidFill>
                <a:srgbClr val="46BD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Dashboard!$A$43:$A$60</c:f>
            </c:strRef>
          </c:cat>
          <c:val>
            <c:numRef>
              <c:f>Dashboard!$B$43:$B$60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Top 10 Directors</a:t>
            </a:r>
          </a:p>
        </c:rich>
      </c:tx>
      <c:layout>
        <c:manualLayout>
          <c:xMode val="edge"/>
          <c:yMode val="edge"/>
          <c:x val="0.034166666666666665"/>
          <c:y val="0.05"/>
        </c:manualLayout>
      </c:layout>
      <c:overlay val="0"/>
    </c:title>
    <c:plotArea>
      <c:layout/>
      <c:barChart>
        <c:barDir val="bar"/>
        <c:ser>
          <c:idx val="0"/>
          <c:order val="0"/>
          <c:tx>
            <c:strRef>
              <c:f>Dashboard!$D$42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Dashboard!$C$43:$C$52</c:f>
            </c:strRef>
          </c:cat>
          <c:val>
            <c:numRef>
              <c:f>Dashboard!$D$43:$D$52</c:f>
              <c:numCache/>
            </c:numRef>
          </c:val>
        </c:ser>
        <c:axId val="1817449358"/>
        <c:axId val="1822017879"/>
      </c:barChart>
      <c:catAx>
        <c:axId val="181744935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Primary Director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22017879"/>
      </c:catAx>
      <c:valAx>
        <c:axId val="182201787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Average Box Office Profit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1744935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733425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17</xdr:row>
      <xdr:rowOff>104775</xdr:rowOff>
    </xdr:from>
    <xdr:ext cx="7334250" cy="4562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0</xdr:colOff>
      <xdr:row>0</xdr:row>
      <xdr:rowOff>0</xdr:rowOff>
    </xdr:from>
    <xdr:ext cx="5657850" cy="34956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0</xdr:colOff>
      <xdr:row>17</xdr:row>
      <xdr:rowOff>104775</xdr:rowOff>
    </xdr:from>
    <xdr:ext cx="6324600" cy="45624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R509" sheet="Data"/>
  </cacheSource>
  <cacheFields>
    <cacheField name="Movie Title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Release Date" numFmtId="164">
      <sharedItems containsSemiMixedTypes="0" containsNonDate="0" containsDate="1" containsString="0" minDate="2012-01-06T00:00:00Z" maxDate="2016-08-27T00:00:00Z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</sharedItems>
      <fieldGroup base="1">
        <rangePr autoStart="0" autoEnd="0" groupBy="years" startDate="2012-01-06T00:00:00Z" endDate="2016-08-27T00:00:00Z"/>
        <groupItems>
          <s v="&lt;01/06/12"/>
          <s v="112"/>
          <s v="113"/>
          <s v="114"/>
          <s v="115"/>
          <s v="116"/>
          <s v="&gt;08/27/16"/>
        </groupItems>
      </fieldGroup>
    </cacheField>
    <cacheField name="Wikipedia URL" numFmtId="0">
      <sharedItems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4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Cast (2)" numFmtId="0">
      <sharedItems containsBlank="1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Cast (3)" numFmtId="0">
      <sharedItems containsBlank="1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Cast (4)" numFmtId="0">
      <sharedItems containsBlank="1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Cast (5)" numFmtId="0">
      <sharedItems containsBlank="1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165">
      <sharedItems containsSemiMixedTypes="0" containsString="0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</sharedItems>
    </cacheField>
    <cacheField name="Z-Score (Budget)" numFmtId="4">
      <sharedItems containsSemiMixedTypes="0" containsString="0" containsNumber="1">
        <n v="-0.6884627432809403"/>
        <n v="-0.07868919572051578"/>
        <n v="0.2465233629783773"/>
        <n v="0.12456865346629238"/>
        <n v="0.7241793085673764"/>
        <n v="1.2424868239937372"/>
        <n v="-0.18031812031391986"/>
        <n v="-0.8287106592198379"/>
        <n v="-0.8917205924677485"/>
        <n v="0.8766226954574826"/>
        <n v="-0.9425350547644504"/>
        <n v="-0.9120463773864292"/>
        <n v="-0.531954199407098"/>
        <n v="-0.5868338186875361"/>
        <n v="-0.42422753933808965"/>
        <n v="-0.830743237711706"/>
        <n v="1.0290660823475888"/>
        <n v="1.6490025223673537"/>
        <n v="-0.2819470449073239"/>
        <n v="0.06359129871024993"/>
        <n v="0.835971125620121"/>
        <n v="0.022939728872888303"/>
        <n v="0.20180663615727948"/>
        <n v="-0.9242418483376378"/>
        <n v="-0.8612319150897272"/>
        <n v="0.32782650265310054"/>
        <n v="-0.08885208817985618"/>
        <n v="4.088096712609052"/>
        <n v="-0.9222092698457697"/>
        <n v="3.4783231650486273"/>
        <n v="-0.9567631042075271"/>
        <n v="0.22619757805969648"/>
        <n v="-0.5461822488501745"/>
        <n v="1.0392289748069292"/>
        <n v="-0.8510690226303869"/>
        <n v="-0.7900916678743444"/>
        <n v="0.08391708362893076"/>
        <n v="0.42945542724650465"/>
        <n v="-0.6274853885248979"/>
        <n v="-0.5258564639314938"/>
        <n v="-0.7697658829556635"/>
        <n v="2.4620339191145866"/>
        <n v="-0.9526979472237909"/>
        <n v="-0.7535052550207189"/>
        <n v="0.002613943954207488"/>
        <n v="-0.9730237321424717"/>
        <n v="-0.7494400980369827"/>
        <n v="1.6185138449893326"/>
        <n v="0.5920617065959511"/>
        <n v="0.16522022330365402"/>
        <n v="-0.3530872921227068"/>
        <n v="0.40912964232782384"/>
        <n v="2.05551822074097"/>
        <n v="3.7832099388288394"/>
        <n v="-0.38357596950072803"/>
        <n v="0.18554600822233483"/>
        <n v="-0.9628608396831313"/>
        <n v="0.5514101367585895"/>
        <n v="0.7343422010267169"/>
        <n v="-0.2616212599886431"/>
        <n v="-0.7921242463662125"/>
        <n v="-0.4852048940941321"/>
        <n v="-0.7291143131183019"/>
        <n v="2.624640198464033"/>
        <n v="1.3441157485871413"/>
        <n v="-0.9648934181749994"/>
        <n v="-0.20064390523260067"/>
        <n v="0.8969484803761634"/>
        <n v="-0.6478111734435786"/>
        <n v="1.4457446731805457"/>
        <n v="2.2587760699277784"/>
        <n v="-0.3632501845820472"/>
        <n v="-0.607159603606217"/>
        <n v="-0.9323721623051101"/>
        <n v="-0.7087885281996211"/>
        <n v="0.388803857409143"/>
        <n v="0.5310843518399088"/>
        <n v="1.9335635112288851"/>
        <n v="1.852260371554162"/>
        <n v="0.7140164161080361"/>
        <n v="0.6327132764333128"/>
        <n v="-0.13966655047655824"/>
        <n v="1.7506314469607578"/>
        <n v="1.953889296147566"/>
        <n v="1.140857899400333"/>
        <n v="0.9376000502135251"/>
        <n v="2.3604049945211822"/>
        <n v="-0.8409061301710464"/>
        <n v="0.19774147917354332"/>
        <n v="0.612387491514632"/>
        <n v="0.9172742652948442"/>
        <n v="-0.9445676332563185"/>
        <n v="-0.6681369583622595"/>
        <n v="-0.8937531709596165"/>
        <n v="-0.5055306790128129"/>
        <n v="-0.6518763304273149"/>
        <n v="3.579952089642031"/>
        <n v="3.3766942404552234"/>
        <n v="-0.44455332425677047"/>
        <n v="0.1448944383849732"/>
        <n v="-0.9669259966668675"/>
        <n v="1.5880251676113113"/>
        <n v="-0.8205803452523656"/>
        <n v="-0.7250491561345658"/>
        <n v="-0.9344047407969781"/>
        <n v="1.5473735977739498"/>
        <n v="2.8685496174882026"/>
        <n v="-0.4648791091754513"/>
        <n v="1.6896540922047154"/>
        <n v="-0.40390175441940884"/>
        <n v="1.628676737448673"/>
        <n v="-0.058363410801834964"/>
        <n v="-0.9577793934534611"/>
        <n v="1.1002063295629716"/>
        <n v="0.2587188339295858"/>
        <n v="-0.22096969015128148"/>
        <n v="-0.7006582142321488"/>
        <n v="-0.5969967111468766"/>
        <n v="-0.5665080337688554"/>
        <n v="2.7669206928947987"/>
        <n v="2.5636628437079905"/>
        <n v="-0.11934076555787741"/>
        <n v="0.04326551379156912"/>
        <n v="2.157147145334374"/>
        <n v="3.6815810142354355"/>
        <n v="0.4904327820025471"/>
        <n v="-0.7372446270857742"/>
        <n v="-0.0990149806391966"/>
        <n v="-0.3022728298260048"/>
        <n v="-0.027874733423813736"/>
        <n v="-0.8713948075490676"/>
        <n v="-0.9262744268295058"/>
        <n v="2.665291768301395"/>
        <n v="1.2018352541563757"/>
        <n v="-0.3429243996633664"/>
        <n v="0.24083214320114665"/>
        <n v="-0.12340592254161357"/>
        <n v="1.0189031898882484"/>
        <n v="-0.9018834849270888"/>
        <n v="-0.9709911536506036"/>
        <n v="0.5107585669212279"/>
        <n v="-0.9161115343701655"/>
        <n v="-0.5360193563908342"/>
        <n v="-0.6173224960655574"/>
        <n v="-0.5908989756712724"/>
        <n v="-0.7982219818418167"/>
        <n v="3.071807466675011"/>
      </sharedItems>
    </cacheField>
    <cacheField name="Box Office Revenue ($)" numFmtId="165">
      <sharedItems containsSemiMixedTypes="0" containsString="0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</sharedItems>
    </cacheField>
    <cacheField name="Z-Score (Revenue)" numFmtId="4">
      <sharedItems containsSemiMixedTypes="0" containsString="0" containsNumber="1">
        <n v="-0.23837328642121325"/>
        <n v="-0.4506452583282406"/>
        <n v="-0.10959131888892928"/>
        <n v="0.2702063480706878"/>
        <n v="0.9785071694982496"/>
        <n v="1.012885406593732"/>
        <n v="-0.29730740715632625"/>
        <n v="-0.8135266498916679"/>
        <n v="-0.8031586101327128"/>
        <n v="0.8333546128728787"/>
        <n v="-0.5013940845168101"/>
        <n v="-0.6983868399369564"/>
        <n v="-0.7906078251613461"/>
        <n v="-0.7638691963093042"/>
        <n v="-0.6318131109584028"/>
        <n v="-0.7093005659990144"/>
        <n v="-0.5084880064571478"/>
        <n v="-0.6329044835646086"/>
        <n v="-0.19417269586987848"/>
        <n v="0.5010316542832137"/>
        <n v="-0.823894689650623"/>
        <n v="-0.6405440918080492"/>
        <n v="-0.6858360549655897"/>
        <n v="0.45191988700395286"/>
        <n v="0.45301125961015865"/>
        <n v="2.157735270503612"/>
        <n v="-0.6814705645407665"/>
        <n v="0.5725165599896932"/>
        <n v="-0.09922327912997414"/>
        <n v="2.004943105634801"/>
        <n v="0.43827772942638044"/>
        <n v="-0.802067237526507"/>
        <n v="-0.15160916422785245"/>
        <n v="-0.529224085975058"/>
        <n v="3.93285281449734"/>
        <n v="-0.8053413553451244"/>
        <n v="-0.7393133126696737"/>
        <n v="0.8240779457201294"/>
        <n v="-0.7098462523021172"/>
        <n v="-0.7469529209131143"/>
        <n v="-0.6034374231970521"/>
        <n v="-0.7496813524286288"/>
        <n v="-0.6694654658725028"/>
        <n v="-0.28475662218495956"/>
        <n v="-0.721851350970381"/>
        <n v="-0.1308730847099423"/>
        <n v="-0.5865211478008623"/>
        <n v="-0.4528280035406522"/>
        <n v="0.07375927895364448"/>
        <n v="-0.4904803584547522"/>
        <n v="-0.6296303657459912"/>
        <n v="-0.8113439046792562"/>
        <n v="3.069031396685452"/>
        <n v="-0.8140723361947707"/>
        <n v="-0.609439972531184"/>
        <n v="0.3285947825026979"/>
        <n v="-0.7927905703737578"/>
        <n v="-0.2722058372135929"/>
        <n v="-0.7840595895241114"/>
        <n v="-0.5783358532543188"/>
        <n v="-0.6263562479273738"/>
        <n v="-0.7584123332782752"/>
        <n v="-0.1385126929533829"/>
        <n v="-0.11723092713236986"/>
        <n v="0.6674659767295976"/>
        <n v="-0.5548713422208942"/>
        <n v="0.11795986950497922"/>
        <n v="-0.6350872287770202"/>
        <n v="-0.421723884263787"/>
        <n v="0.4824783199777152"/>
        <n v="-0.7846052758272143"/>
        <n v="0.5103083214359629"/>
        <n v="-0.6852903686624868"/>
        <n v="3.048295317167542"/>
        <n v="-0.7305823318200273"/>
        <n v="3.4411894554016285"/>
        <n v="-0.7938819429799635"/>
        <n v="-0.3496932922542045"/>
        <n v="4.468171077841283"/>
        <n v="-0.6279933068366825"/>
        <n v="-0.40862741298931743"/>
        <n v="0.7471361769826208"/>
        <n v="1.4919979807180765"/>
        <n v="-0.5139448694881767"/>
        <n v="-0.6749223289035318"/>
        <n v="1.0740022725412568"/>
        <n v="0.3553334113547399"/>
        <n v="-0.6683740932662969"/>
        <n v="-0.17452798895817417"/>
        <n v="0.0972237899870691"/>
        <n v="-0.582155657376039"/>
        <n v="-0.577244480648113"/>
        <n v="1.1924162003145855"/>
        <n v="0.7318569604957396"/>
        <n v="-0.5668764408891579"/>
        <n v="-0.6912929179966186"/>
        <n v="-0.5603282052519232"/>
        <n v="0.6352704848465265"/>
        <n v="-0.4222695705668899"/>
        <n v="-0.6503664452639013"/>
        <n v="0.08740143653121693"/>
        <n v="3.4744763198909054"/>
        <n v="0.05356888573883725"/>
        <n v="-0.6563689945980332"/>
        <n v="-0.7676890004310244"/>
        <n v="-0.7136660564238375"/>
        <n v="-0.7627778237030983"/>
        <n v="-0.7671433141279215"/>
        <n v="0.3264120372902863"/>
        <n v="1.2207918880759363"/>
        <n v="-0.2552895618174031"/>
        <n v="-0.2192742658126118"/>
        <n v="-0.6470923274452839"/>
        <n v="-0.7649605689155099"/>
        <n v="-0.105771514767209"/>
        <n v="0.3575161565671515"/>
        <n v="-0.4877519269392377"/>
        <n v="-0.7011152714524709"/>
        <n v="-0.03428660906072935"/>
        <n v="2.057328990732679"/>
        <n v="1.185867964677351"/>
        <n v="-0.009730725421098933"/>
        <n v="0.5184936159825064"/>
        <n v="-0.8200748855289026"/>
        <n v="0.40553655124020654"/>
        <n v="-0.27657132763841613"/>
        <n v="-0.4304548651134334"/>
        <n v="-0.7502270387317317"/>
        <n v="-0.38025172522796674"/>
        <n v="1.2769975772955349"/>
        <n v="-0.20563210823503936"/>
        <n v="-0.24164740423983064"/>
        <n v="-0.5472317339774536"/>
        <n v="1.126388157639135"/>
        <n v="1.751744660995056"/>
        <n v="2.5620888211028596"/>
        <n v="-0.47465545566476813"/>
        <n v="-0.8151637088009765"/>
        <n v="1.180411101646322"/>
        <n v="3.9563173255307644"/>
        <n v="0.12014261471739082"/>
        <n v="-0.3988050595334653"/>
        <n v="-0.3169521140680306"/>
        <n v="1.2568071840807276"/>
        <n v="0.054114572041940145"/>
        <n v="-0.21272603017537703"/>
        <n v="2.854576679566013"/>
        <n v="0.05302319943573435"/>
        <n v="-0.7851509621303171"/>
        <n v="-0.6798335056314578"/>
        <n v="0.36188164699197467"/>
        <n v="-0.08994661197722495"/>
        <n v="-0.812980963588565"/>
        <n v="1.0690910958133306"/>
        <n v="-0.7884250799489345"/>
        <n v="-0.8168007677102852"/>
        <n v="-0.45992192548098987"/>
        <n v="-0.6334501698677115"/>
        <n v="-0.36006133201315954"/>
        <n v="1.0003346216223654"/>
        <n v="-0.2776627002446219"/>
        <n v="-0.716394487939352"/>
        <n v="-0.8157093951040795"/>
        <n v="-0.6225364438056535"/>
        <n v="1.4319724873767579"/>
        <n v="-0.49375447627336955"/>
        <n v="-0.678742133025252"/>
        <n v="2.007671537150315"/>
        <n v="-0.8206205718320055"/>
        <n v="1.5814905344269519"/>
        <n v="-0.07521308179344671"/>
        <n v="2.4938780332149975"/>
        <n v="-0.14233249707510318"/>
        <n v="0.6729228397606266"/>
        <n v="-0.7338564496386447"/>
        <n v="-0.6536405630825187"/>
        <n v="0.2385565424907197"/>
        <n v="0.13378477229496327"/>
        <n v="-0.6050744821063607"/>
        <n v="1.6993587758971778"/>
        <n v="1.2355254182597146"/>
        <n v="3.246379445193894"/>
        <n v="-0.5510515380991738"/>
        <n v="-0.03046680493900906"/>
        <n v="2.8158329520457075"/>
        <n v="-0.5892495793163768"/>
        <n v="0.874826771908699"/>
        <n v="-0.7796940990992882"/>
        <n v="0.2412849740062342"/>
        <n v="2.5757309786804323"/>
        <n v="-0.7955190018892723"/>
        <n v="-0.4277264335979189"/>
        <n v="0.16925438199665166"/>
        <n v="2.8938660933894216"/>
        <n v="-0.7720544908558477"/>
        <n v="-0.32131760449285374"/>
        <n v="1.2726320868707117"/>
        <n v="-0.4566478076623725"/>
        <n v="-0.5728789902232898"/>
        <n v="-0.5903409519225825"/>
        <n v="0.6751055849730382"/>
        <n v="-0.6514578178701071"/>
        <n v="-0.8026129238296099"/>
        <n v="-0.8173464540133881"/>
        <n v="-0.3442364292231755"/>
        <n v="0.28002870152653997"/>
        <n v="0.6478212698178933"/>
        <n v="-0.24055603163362482"/>
        <n v="-0.5696048724046724"/>
        <n v="1.1525811001880741"/>
        <n v="-0.7251254687889983"/>
        <n v="-0.5324982037936753"/>
        <n v="-0.5330438900967782"/>
        <n v="1.1493069823694566"/>
        <n v="0.3864375306316051"/>
        <n v="1.0898271753312407"/>
        <n v="0.9217557939755482"/>
        <n v="0.7324026467988425"/>
        <n v="0.04920339531401406"/>
        <n v="-0.45555643505616666"/>
        <n v="-0.26402054266704944"/>
        <n v="-0.7824225306148027"/>
        <n v="1.4134191530712594"/>
        <n v="-0.3589699594069537"/>
        <n v="-0.12869033949753073"/>
        <n v="-0.36278976352867404"/>
        <n v="-0.05011151185071339"/>
        <n v="-0.4031705499582885"/>
        <n v="-0.24492152205844803"/>
        <n v="-0.17561936156437996"/>
        <n v="-0.5646936956767463"/>
        <n v="-0.24219309054293353"/>
        <n v="-0.7998844923140954"/>
        <n v="1.206058357892158"/>
        <n v="-0.7616864510968925"/>
        <n v="0.2740261521924081"/>
        <n v="-0.19962955890090747"/>
        <n v="0.7373138235267686"/>
        <n v="0.5070342036173456"/>
        <n v="-0.0997689654330772"/>
        <n v="-0.7349478222448506"/>
        <n v="-0.3087668195214871"/>
        <n v="-0.18653308762643792"/>
        <n v="-0.7775113538868765"/>
        <n v="-0.6596431124166506"/>
        <n v="-0.7398589989727766"/>
        <n v="-0.1630685765930133"/>
        <n v="-0.6481837000514897"/>
        <n v="-0.2689317193949755"/>
        <n v="1.3719469940354392"/>
        <n v="-0.40207917735208265"/>
        <n v="1.2982793431165478"/>
        <n v="-0.8198566110076615"/>
        <n v="-0.7595037058844809"/>
        <n v="-0.02119013778625979"/>
        <n v="-0.5543256559177913"/>
        <n v="0.4813869473715094"/>
        <n v="-0.603983109500155"/>
        <n v="-0.28202819066944507"/>
        <n v="0.013733785612325687"/>
        <n v="1.8996256491359413"/>
        <n v="0.8453597115411424"/>
        <n v="-0.5777901669512159"/>
        <n v="0.4950291049490818"/>
        <n v="-0.5052138886385305"/>
        <n v="-0.8107982183761534"/>
        <n v="-0.43809447335687396"/>
        <n v="-0.6656456617507824"/>
        <n v="-0.3371425072828378"/>
        <n v="0.3062216440754791"/>
        <n v="-0.37643192110624646"/>
        <n v="-0.4015334910489798"/>
        <n v="-0.6629172302352679"/>
        <n v="-0.46483310220891594"/>
        <n v="-0.20617779453814225"/>
        <n v="-0.2509240713925799"/>
        <n v="-0.3660638813472914"/>
        <n v="-0.46537878851201886"/>
        <n v="-0.5439576161588362"/>
        <n v="0.46065086785359927"/>
        <n v="-0.61435114925911"/>
        <n v="-0.40535329517070007"/>
        <n v="-0.5406834983402188"/>
        <n v="-0.2563809344236089"/>
        <n v="1.334840325424442"/>
        <n v="-0.459376239177887"/>
        <n v="-0.32732015382698565"/>
        <n v="-0.34751054704179285"/>
        <n v="0.45683106373187893"/>
        <n v="-0.5303154585812637"/>
        <n v="0.24237634661244"/>
        <n v="0.4966661638583905"/>
        <n v="-0.6416354644142549"/>
        <n v="0.2707520343737907"/>
        <n v="-0.6547319356887245"/>
        <n v="2.6450331391745"/>
        <n v="1.222974633288348"/>
        <n v="-0.2809368180632393"/>
        <n v="2.16864899656567"/>
        <n v="0.3531506661423283"/>
        <n v="1.8625189805249442"/>
        <n v="0.493937732342876"/>
        <n v="1.574942298789717"/>
        <n v="-0.571787617617084"/>
        <n v="-0.6083485999249781"/>
        <n v="-0.6934756632090303"/>
        <n v="-0.2252768151467437"/>
        <n v="-0.47083565154304785"/>
        <n v="3.306404938535213"/>
        <n v="1.0636342327823016"/>
        <n v="-0.08285269003688728"/>
        <n v="-0.10195171064548864"/>
        <n v="-0.400442118442774"/>
        <n v="0.6772883301854498"/>
        <n v="-0.23291642339018426"/>
        <n v="-0.47902094608959134"/>
        <n v="0.13433045859806617"/>
        <n v="-0.46647016111822465"/>
        <n v="-0.4550107487530638"/>
        <n v="-0.2569266207267118"/>
        <n v="-0.7371305674572621"/>
        <n v="-0.780785471705494"/>
        <n v="0.9059308911855641"/>
        <n v="0.9141161857321076"/>
        <n v="2.3749184191385657"/>
        <n v="-0.769871745643436"/>
        <n v="-0.27384289612290164"/>
        <n v="0.14960967508494732"/>
        <n v="0.1485183024787415"/>
        <n v="0.7929738264432642"/>
        <n v="-0.72730821400141"/>
        <n v="-0.5919780108318912"/>
        <n v="-0.8162550814071824"/>
        <n v="0.22000320818522118"/>
        <n v="0.8371744169945989"/>
        <n v="0.295853604316524"/>
        <n v="0.8469967704504511"/>
        <n v="-0.5352266353091898"/>
        <n v="-0.6241735027149622"/>
        <n v="-0.507396633850942"/>
        <n v="-0.46374172960271015"/>
        <n v="0.124508105142214"/>
        <n v="1.0860073712095204"/>
        <n v="-0.40753604038311164"/>
        <n v="-0.6972954673307505"/>
        <n v="1.1460328645508393"/>
        <n v="0.02082770755266336"/>
        <n v="0.4251812581519109"/>
        <n v="4.387409504982054"/>
        <n v="-0.4839321228175174"/>
        <n v="2.9598941360648725"/>
        <n v="3.29276278095764"/>
        <n v="2.7361627517926843"/>
        <n v="0.0688481022257184"/>
        <n v="0.4453716513667181"/>
        <n v="0.1545208518128734"/>
        <n v="-0.7464072346100113"/>
        <n v="0.23255399315658784"/>
        <n v="-0.32186329079595666"/>
        <n v="-0.3687923128628059"/>
        <n v="-0.5657850682829522"/>
        <n v="-0.06320798312518294"/>
        <n v="-0.619808012290139"/>
        <n v="-0.49484584887957533"/>
        <n v="1.0952840383622697"/>
        <n v="1.7310085814771459"/>
        <n v="-0.2869393673973712"/>
        <n v="-0.23018799187466976"/>
        <n v="-0.7185772331517636"/>
        <n v="2.609563529472812"/>
        <n v="1.0712738410257423"/>
        <n v="2.1926591939021978"/>
        <n v="0.016462217127840177"/>
        <n v="-0.3349597620704262"/>
        <n v="-0.5434119298557333"/>
        <n v="-0.6394527192018433"/>
        <n v="-0.16961681223024808"/>
        <n v="-0.82334900334752"/>
        <n v="0.2440134055217487"/>
        <n v="0.5141281255576833"/>
        <n v="-0.5003027119106044"/>
        <n v="-0.7726001771589505"/>
        <n v="-0.15815739986508723"/>
        <n v="-0.40098780474587686"/>
        <n v="-0.34205368401076386"/>
        <n v="-0.2531068166049915"/>
        <n v="-0.7933362566768606"/>
        <n v="-0.779475824578047"/>
        <n v="-0.6672827206600912"/>
        <n v="2.079156442856795"/>
        <n v="3.1263284585112565"/>
        <n v="-0.03483229536383225"/>
        <n v="-0.32077191818975087"/>
        <n v="-0.8161459441465617"/>
        <n v="-0.7404046852758795"/>
        <n v="1.0669083506009192"/>
        <n v="-0.7916991977675519"/>
        <n v="0.9353979515531206"/>
        <n v="-0.15433759574336695"/>
        <n v="-0.4331832966289479"/>
        <n v="3.6982077041630936"/>
        <n v="-0.7556839017627607"/>
        <n v="-0.29185054412529726"/>
        <n v="-0.49539153518267826"/>
        <n v="-0.6612801713259593"/>
        <n v="-0.3938938828055392"/>
        <n v="-0.6088942862280811"/>
        <n v="1.4341552325891695"/>
        <n v="-0.12814465319442783"/>
        <n v="-0.5625109504643347"/>
        <n v="-0.7900621388582433"/>
        <n v="-0.3049470153997668"/>
        <n v="-0.14178681077200028"/>
        <n v="0.02464751167438365"/>
        <n v="-0.6869274275717955"/>
        <n v="1.1176571767894885"/>
        <n v="0.25383575897760086"/>
        <n v="-0.6967497810276476"/>
        <n v="-0.26729466048566686"/>
        <n v="-0.7016609577555737"/>
        <n v="-0.5619652641612318"/>
        <n v="0.7127579398871382"/>
        <n v="-0.8189835129226969"/>
        <n v="0.06229986658848362"/>
        <n v="-0.7507727250348346"/>
        <n v="-0.4795666323926942"/>
        <n v="-0.7453158620038056"/>
        <n v="-0.8102525320730505"/>
        <n v="-0.6427268370204607"/>
        <n v="-0.5963435012567144"/>
        <n v="-0.427180747294816"/>
        <n v="1.5361985712694113"/>
        <n v="-0.19089857805126112"/>
        <n v="-0.8146180224978736"/>
        <n v="-0.6650999754476795"/>
        <n v="0.28930536867928924"/>
        <n v="-0.5428662435526304"/>
        <n v="-0.7993388060109925"/>
        <n v="-0.4932087899702667"/>
        <n v="2.117354484073998"/>
        <n v="0.836628730691496"/>
        <n v="2.1424560540167312"/>
        <n v="3.251836308224923"/>
        <n v="-0.6831076234500753"/>
        <n v="-0.10468014216100312"/>
        <n v="-0.47754759307121347"/>
        <n v="-0.523767222944029"/>
      </sharedItems>
    </cacheField>
    <cacheField name=" " numFmtId="0">
      <sharedItems containsBlank="1">
        <s v="Budget-Revenue Correlation"/>
        <s v="Budget-Revenue DF"/>
        <s v="Budget-Revenue P-Value"/>
        <m/>
      </sharedItems>
    </cacheField>
    <cacheField name=" 2" numFmtId="4">
      <sharedItems containsString="0" containsBlank="1" containsNumber="1">
        <n v="0.759240433039823"/>
        <n v="506.0"/>
        <n v="1.0E-4"/>
        <m/>
      </sharedItems>
    </cacheField>
    <cacheField name="Average Box Office Profit" formula="average('Box Office Revenue ($)')- average('Budget ($)')" databaseField="0"/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772" sheet="Data (Genre Transformed)"/>
  </cacheSource>
  <cacheFields>
    <cacheField name="Title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  <s v="Movie Title"/>
      </sharedItems>
    </cacheField>
    <cacheField name="Release Date" numFmtId="164">
      <sharedItems containsDate="1" containsString="0" containsBlank="1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  <m/>
      </sharedItems>
    </cacheField>
    <cacheField name="Genre" numFmtId="166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  <s v="Genre (2)"/>
        <s v="Sports"/>
      </sharedItems>
    </cacheField>
    <cacheField name="Budget" numFmtId="166">
      <sharedItems containsString="0" containsBlank="1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  <m/>
      </sharedItems>
    </cacheField>
    <cacheField name="Box Office Revenue" numFmtId="166">
      <sharedItems containsString="0" containsBlank="1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  <m/>
      </sharedItems>
    </cacheField>
    <cacheField name="Average Box Office Profit" formula="Average('Box Office Revenue') - Average(Budget)" databaseField="0"/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P509" sheet="Data"/>
  </cacheSource>
  <cacheFields>
    <cacheField name="Movie Title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Release Date" numFmtId="164">
      <sharedItems containsSemiMixedTypes="0" containsDate="1" containsString="0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</sharedItems>
    </cacheField>
    <cacheField name="Wikipedia URL" numFmtId="0">
      <sharedItems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4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Cast (2)" numFmtId="0">
      <sharedItems containsBlank="1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Cast (3)" numFmtId="0">
      <sharedItems containsBlank="1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Cast (4)" numFmtId="0">
      <sharedItems containsBlank="1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Cast (5)" numFmtId="0">
      <sharedItems containsBlank="1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165">
      <sharedItems containsSemiMixedTypes="0" containsString="0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</sharedItems>
    </cacheField>
    <cacheField name="Z-Score (Budget)" numFmtId="4">
      <sharedItems containsSemiMixedTypes="0" containsString="0" containsNumber="1">
        <n v="-0.6884627432809403"/>
        <n v="-0.07868919572051578"/>
        <n v="0.2465233629783773"/>
        <n v="0.12456865346629238"/>
        <n v="0.7241793085673764"/>
        <n v="1.2424868239937372"/>
        <n v="-0.18031812031391986"/>
        <n v="-0.8287106592198379"/>
        <n v="-0.8917205924677485"/>
        <n v="0.8766226954574826"/>
        <n v="-0.9425350547644504"/>
        <n v="-0.9120463773864292"/>
        <n v="-0.531954199407098"/>
        <n v="-0.5868338186875361"/>
        <n v="-0.42422753933808965"/>
        <n v="-0.830743237711706"/>
        <n v="1.0290660823475888"/>
        <n v="1.6490025223673537"/>
        <n v="-0.2819470449073239"/>
        <n v="0.06359129871024993"/>
        <n v="0.835971125620121"/>
        <n v="0.022939728872888303"/>
        <n v="0.20180663615727948"/>
        <n v="-0.9242418483376378"/>
        <n v="-0.8612319150897272"/>
        <n v="0.32782650265310054"/>
        <n v="-0.08885208817985618"/>
        <n v="4.088096712609052"/>
        <n v="-0.9222092698457697"/>
        <n v="3.4783231650486273"/>
        <n v="-0.9567631042075271"/>
        <n v="0.22619757805969648"/>
        <n v="-0.5461822488501745"/>
        <n v="1.0392289748069292"/>
        <n v="-0.8510690226303869"/>
        <n v="-0.7900916678743444"/>
        <n v="0.08391708362893076"/>
        <n v="0.42945542724650465"/>
        <n v="-0.6274853885248979"/>
        <n v="-0.5258564639314938"/>
        <n v="-0.7697658829556635"/>
        <n v="2.4620339191145866"/>
        <n v="-0.9526979472237909"/>
        <n v="-0.7535052550207189"/>
        <n v="0.002613943954207488"/>
        <n v="-0.9730237321424717"/>
        <n v="-0.7494400980369827"/>
        <n v="1.6185138449893326"/>
        <n v="0.5920617065959511"/>
        <n v="0.16522022330365402"/>
        <n v="-0.3530872921227068"/>
        <n v="0.40912964232782384"/>
        <n v="2.05551822074097"/>
        <n v="3.7832099388288394"/>
        <n v="-0.38357596950072803"/>
        <n v="0.18554600822233483"/>
        <n v="-0.9628608396831313"/>
        <n v="0.5514101367585895"/>
        <n v="0.7343422010267169"/>
        <n v="-0.2616212599886431"/>
        <n v="-0.7921242463662125"/>
        <n v="-0.4852048940941321"/>
        <n v="-0.7291143131183019"/>
        <n v="2.624640198464033"/>
        <n v="1.3441157485871413"/>
        <n v="-0.9648934181749994"/>
        <n v="-0.20064390523260067"/>
        <n v="0.8969484803761634"/>
        <n v="-0.6478111734435786"/>
        <n v="1.4457446731805457"/>
        <n v="2.2587760699277784"/>
        <n v="-0.3632501845820472"/>
        <n v="-0.607159603606217"/>
        <n v="-0.9323721623051101"/>
        <n v="-0.7087885281996211"/>
        <n v="0.388803857409143"/>
        <n v="0.5310843518399088"/>
        <n v="1.9335635112288851"/>
        <n v="1.852260371554162"/>
        <n v="0.7140164161080361"/>
        <n v="0.6327132764333128"/>
        <n v="-0.13966655047655824"/>
        <n v="1.7506314469607578"/>
        <n v="1.953889296147566"/>
        <n v="1.140857899400333"/>
        <n v="0.9376000502135251"/>
        <n v="2.3604049945211822"/>
        <n v="-0.8409061301710464"/>
        <n v="0.19774147917354332"/>
        <n v="0.612387491514632"/>
        <n v="0.9172742652948442"/>
        <n v="-0.9445676332563185"/>
        <n v="-0.6681369583622595"/>
        <n v="-0.8937531709596165"/>
        <n v="-0.5055306790128129"/>
        <n v="-0.6518763304273149"/>
        <n v="3.579952089642031"/>
        <n v="3.3766942404552234"/>
        <n v="-0.44455332425677047"/>
        <n v="0.1448944383849732"/>
        <n v="-0.9669259966668675"/>
        <n v="1.5880251676113113"/>
        <n v="-0.8205803452523656"/>
        <n v="-0.7250491561345658"/>
        <n v="-0.9344047407969781"/>
        <n v="1.5473735977739498"/>
        <n v="2.8685496174882026"/>
        <n v="-0.4648791091754513"/>
        <n v="1.6896540922047154"/>
        <n v="-0.40390175441940884"/>
        <n v="1.628676737448673"/>
        <n v="-0.058363410801834964"/>
        <n v="-0.9577793934534611"/>
        <n v="1.1002063295629716"/>
        <n v="0.2587188339295858"/>
        <n v="-0.22096969015128148"/>
        <n v="-0.7006582142321488"/>
        <n v="-0.5969967111468766"/>
        <n v="-0.5665080337688554"/>
        <n v="2.7669206928947987"/>
        <n v="2.5636628437079905"/>
        <n v="-0.11934076555787741"/>
        <n v="0.04326551379156912"/>
        <n v="2.157147145334374"/>
        <n v="3.6815810142354355"/>
        <n v="0.4904327820025471"/>
        <n v="-0.7372446270857742"/>
        <n v="-0.0990149806391966"/>
        <n v="-0.3022728298260048"/>
        <n v="-0.027874733423813736"/>
        <n v="-0.8713948075490676"/>
        <n v="-0.9262744268295058"/>
        <n v="2.665291768301395"/>
        <n v="1.2018352541563757"/>
        <n v="-0.3429243996633664"/>
        <n v="0.24083214320114665"/>
        <n v="-0.12340592254161357"/>
        <n v="1.0189031898882484"/>
        <n v="-0.9018834849270888"/>
        <n v="-0.9709911536506036"/>
        <n v="0.5107585669212279"/>
        <n v="-0.9161115343701655"/>
        <n v="-0.5360193563908342"/>
        <n v="-0.6173224960655574"/>
        <n v="-0.5908989756712724"/>
        <n v="-0.7982219818418167"/>
        <n v="3.071807466675011"/>
      </sharedItems>
    </cacheField>
    <cacheField name="Box Office Revenue ($)" numFmtId="165">
      <sharedItems containsSemiMixedTypes="0" containsString="0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</sharedItems>
    </cacheField>
    <cacheField name="Z-Score (Revenue)" numFmtId="4">
      <sharedItems containsSemiMixedTypes="0" containsString="0" containsNumber="1">
        <n v="-0.23837328642121325"/>
        <n v="-0.4506452583282406"/>
        <n v="-0.10959131888892928"/>
        <n v="0.2702063480706878"/>
        <n v="0.9785071694982496"/>
        <n v="1.012885406593732"/>
        <n v="-0.29730740715632625"/>
        <n v="-0.8135266498916679"/>
        <n v="-0.8031586101327128"/>
        <n v="0.8333546128728787"/>
        <n v="-0.5013940845168101"/>
        <n v="-0.6983868399369564"/>
        <n v="-0.7906078251613461"/>
        <n v="-0.7638691963093042"/>
        <n v="-0.6318131109584028"/>
        <n v="-0.7093005659990144"/>
        <n v="-0.5084880064571478"/>
        <n v="-0.6329044835646086"/>
        <n v="-0.19417269586987848"/>
        <n v="0.5010316542832137"/>
        <n v="-0.823894689650623"/>
        <n v="-0.6405440918080492"/>
        <n v="-0.6858360549655897"/>
        <n v="0.45191988700395286"/>
        <n v="0.45301125961015865"/>
        <n v="2.157735270503612"/>
        <n v="-0.6814705645407665"/>
        <n v="0.5725165599896932"/>
        <n v="-0.09922327912997414"/>
        <n v="2.004943105634801"/>
        <n v="0.43827772942638044"/>
        <n v="-0.802067237526507"/>
        <n v="-0.15160916422785245"/>
        <n v="-0.529224085975058"/>
        <n v="3.93285281449734"/>
        <n v="-0.8053413553451244"/>
        <n v="-0.7393133126696737"/>
        <n v="0.8240779457201294"/>
        <n v="-0.7098462523021172"/>
        <n v="-0.7469529209131143"/>
        <n v="-0.6034374231970521"/>
        <n v="-0.7496813524286288"/>
        <n v="-0.6694654658725028"/>
        <n v="-0.28475662218495956"/>
        <n v="-0.721851350970381"/>
        <n v="-0.1308730847099423"/>
        <n v="-0.5865211478008623"/>
        <n v="-0.4528280035406522"/>
        <n v="0.07375927895364448"/>
        <n v="-0.4904803584547522"/>
        <n v="-0.6296303657459912"/>
        <n v="-0.8113439046792562"/>
        <n v="3.069031396685452"/>
        <n v="-0.8140723361947707"/>
        <n v="-0.609439972531184"/>
        <n v="0.3285947825026979"/>
        <n v="-0.7927905703737578"/>
        <n v="-0.2722058372135929"/>
        <n v="-0.7840595895241114"/>
        <n v="-0.5783358532543188"/>
        <n v="-0.6263562479273738"/>
        <n v="-0.7584123332782752"/>
        <n v="-0.1385126929533829"/>
        <n v="-0.11723092713236986"/>
        <n v="0.6674659767295976"/>
        <n v="-0.5548713422208942"/>
        <n v="0.11795986950497922"/>
        <n v="-0.6350872287770202"/>
        <n v="-0.421723884263787"/>
        <n v="0.4824783199777152"/>
        <n v="-0.7846052758272143"/>
        <n v="0.5103083214359629"/>
        <n v="-0.6852903686624868"/>
        <n v="3.048295317167542"/>
        <n v="-0.7305823318200273"/>
        <n v="3.4411894554016285"/>
        <n v="-0.7938819429799635"/>
        <n v="-0.3496932922542045"/>
        <n v="4.468171077841283"/>
        <n v="-0.6279933068366825"/>
        <n v="-0.40862741298931743"/>
        <n v="0.7471361769826208"/>
        <n v="1.4919979807180765"/>
        <n v="-0.5139448694881767"/>
        <n v="-0.6749223289035318"/>
        <n v="1.0740022725412568"/>
        <n v="0.3553334113547399"/>
        <n v="-0.6683740932662969"/>
        <n v="-0.17452798895817417"/>
        <n v="0.0972237899870691"/>
        <n v="-0.582155657376039"/>
        <n v="-0.577244480648113"/>
        <n v="1.1924162003145855"/>
        <n v="0.7318569604957396"/>
        <n v="-0.5668764408891579"/>
        <n v="-0.6912929179966186"/>
        <n v="-0.5603282052519232"/>
        <n v="0.6352704848465265"/>
        <n v="-0.4222695705668899"/>
        <n v="-0.6503664452639013"/>
        <n v="0.08740143653121693"/>
        <n v="3.4744763198909054"/>
        <n v="0.05356888573883725"/>
        <n v="-0.6563689945980332"/>
        <n v="-0.7676890004310244"/>
        <n v="-0.7136660564238375"/>
        <n v="-0.7627778237030983"/>
        <n v="-0.7671433141279215"/>
        <n v="0.3264120372902863"/>
        <n v="1.2207918880759363"/>
        <n v="-0.2552895618174031"/>
        <n v="-0.2192742658126118"/>
        <n v="-0.6470923274452839"/>
        <n v="-0.7649605689155099"/>
        <n v="-0.105771514767209"/>
        <n v="0.3575161565671515"/>
        <n v="-0.4877519269392377"/>
        <n v="-0.7011152714524709"/>
        <n v="-0.03428660906072935"/>
        <n v="2.057328990732679"/>
        <n v="1.185867964677351"/>
        <n v="-0.009730725421098933"/>
        <n v="0.5184936159825064"/>
        <n v="-0.8200748855289026"/>
        <n v="0.40553655124020654"/>
        <n v="-0.27657132763841613"/>
        <n v="-0.4304548651134334"/>
        <n v="-0.7502270387317317"/>
        <n v="-0.38025172522796674"/>
        <n v="1.2769975772955349"/>
        <n v="-0.20563210823503936"/>
        <n v="-0.24164740423983064"/>
        <n v="-0.5472317339774536"/>
        <n v="1.126388157639135"/>
        <n v="1.751744660995056"/>
        <n v="2.5620888211028596"/>
        <n v="-0.47465545566476813"/>
        <n v="-0.8151637088009765"/>
        <n v="1.180411101646322"/>
        <n v="3.9563173255307644"/>
        <n v="0.12014261471739082"/>
        <n v="-0.3988050595334653"/>
        <n v="-0.3169521140680306"/>
        <n v="1.2568071840807276"/>
        <n v="0.054114572041940145"/>
        <n v="-0.21272603017537703"/>
        <n v="2.854576679566013"/>
        <n v="0.05302319943573435"/>
        <n v="-0.7851509621303171"/>
        <n v="-0.6798335056314578"/>
        <n v="0.36188164699197467"/>
        <n v="-0.08994661197722495"/>
        <n v="-0.812980963588565"/>
        <n v="1.0690910958133306"/>
        <n v="-0.7884250799489345"/>
        <n v="-0.8168007677102852"/>
        <n v="-0.45992192548098987"/>
        <n v="-0.6334501698677115"/>
        <n v="-0.36006133201315954"/>
        <n v="1.0003346216223654"/>
        <n v="-0.2776627002446219"/>
        <n v="-0.716394487939352"/>
        <n v="-0.8157093951040795"/>
        <n v="-0.6225364438056535"/>
        <n v="1.4319724873767579"/>
        <n v="-0.49375447627336955"/>
        <n v="-0.678742133025252"/>
        <n v="2.007671537150315"/>
        <n v="-0.8206205718320055"/>
        <n v="1.5814905344269519"/>
        <n v="-0.07521308179344671"/>
        <n v="2.4938780332149975"/>
        <n v="-0.14233249707510318"/>
        <n v="0.6729228397606266"/>
        <n v="-0.7338564496386447"/>
        <n v="-0.6536405630825187"/>
        <n v="0.2385565424907197"/>
        <n v="0.13378477229496327"/>
        <n v="-0.6050744821063607"/>
        <n v="1.6993587758971778"/>
        <n v="1.2355254182597146"/>
        <n v="3.246379445193894"/>
        <n v="-0.5510515380991738"/>
        <n v="-0.03046680493900906"/>
        <n v="2.8158329520457075"/>
        <n v="-0.5892495793163768"/>
        <n v="0.874826771908699"/>
        <n v="-0.7796940990992882"/>
        <n v="0.2412849740062342"/>
        <n v="2.5757309786804323"/>
        <n v="-0.7955190018892723"/>
        <n v="-0.4277264335979189"/>
        <n v="0.16925438199665166"/>
        <n v="2.8938660933894216"/>
        <n v="-0.7720544908558477"/>
        <n v="-0.32131760449285374"/>
        <n v="1.2726320868707117"/>
        <n v="-0.4566478076623725"/>
        <n v="-0.5728789902232898"/>
        <n v="-0.5903409519225825"/>
        <n v="0.6751055849730382"/>
        <n v="-0.6514578178701071"/>
        <n v="-0.8026129238296099"/>
        <n v="-0.8173464540133881"/>
        <n v="-0.3442364292231755"/>
        <n v="0.28002870152653997"/>
        <n v="0.6478212698178933"/>
        <n v="-0.24055603163362482"/>
        <n v="-0.5696048724046724"/>
        <n v="1.1525811001880741"/>
        <n v="-0.7251254687889983"/>
        <n v="-0.5324982037936753"/>
        <n v="-0.5330438900967782"/>
        <n v="1.1493069823694566"/>
        <n v="0.3864375306316051"/>
        <n v="1.0898271753312407"/>
        <n v="0.9217557939755482"/>
        <n v="0.7324026467988425"/>
        <n v="0.04920339531401406"/>
        <n v="-0.45555643505616666"/>
        <n v="-0.26402054266704944"/>
        <n v="-0.7824225306148027"/>
        <n v="1.4134191530712594"/>
        <n v="-0.3589699594069537"/>
        <n v="-0.12869033949753073"/>
        <n v="-0.36278976352867404"/>
        <n v="-0.05011151185071339"/>
        <n v="-0.4031705499582885"/>
        <n v="-0.24492152205844803"/>
        <n v="-0.17561936156437996"/>
        <n v="-0.5646936956767463"/>
        <n v="-0.24219309054293353"/>
        <n v="-0.7998844923140954"/>
        <n v="1.206058357892158"/>
        <n v="-0.7616864510968925"/>
        <n v="0.2740261521924081"/>
        <n v="-0.19962955890090747"/>
        <n v="0.7373138235267686"/>
        <n v="0.5070342036173456"/>
        <n v="-0.0997689654330772"/>
        <n v="-0.7349478222448506"/>
        <n v="-0.3087668195214871"/>
        <n v="-0.18653308762643792"/>
        <n v="-0.7775113538868765"/>
        <n v="-0.6596431124166506"/>
        <n v="-0.7398589989727766"/>
        <n v="-0.1630685765930133"/>
        <n v="-0.6481837000514897"/>
        <n v="-0.2689317193949755"/>
        <n v="1.3719469940354392"/>
        <n v="-0.40207917735208265"/>
        <n v="1.2982793431165478"/>
        <n v="-0.8198566110076615"/>
        <n v="-0.7595037058844809"/>
        <n v="-0.02119013778625979"/>
        <n v="-0.5543256559177913"/>
        <n v="0.4813869473715094"/>
        <n v="-0.603983109500155"/>
        <n v="-0.28202819066944507"/>
        <n v="0.013733785612325687"/>
        <n v="1.8996256491359413"/>
        <n v="0.8453597115411424"/>
        <n v="-0.5777901669512159"/>
        <n v="0.4950291049490818"/>
        <n v="-0.5052138886385305"/>
        <n v="-0.8107982183761534"/>
        <n v="-0.43809447335687396"/>
        <n v="-0.6656456617507824"/>
        <n v="-0.3371425072828378"/>
        <n v="0.3062216440754791"/>
        <n v="-0.37643192110624646"/>
        <n v="-0.4015334910489798"/>
        <n v="-0.6629172302352679"/>
        <n v="-0.46483310220891594"/>
        <n v="-0.20617779453814225"/>
        <n v="-0.2509240713925799"/>
        <n v="-0.3660638813472914"/>
        <n v="-0.46537878851201886"/>
        <n v="-0.5439576161588362"/>
        <n v="0.46065086785359927"/>
        <n v="-0.61435114925911"/>
        <n v="-0.40535329517070007"/>
        <n v="-0.5406834983402188"/>
        <n v="-0.2563809344236089"/>
        <n v="1.334840325424442"/>
        <n v="-0.459376239177887"/>
        <n v="-0.32732015382698565"/>
        <n v="-0.34751054704179285"/>
        <n v="0.45683106373187893"/>
        <n v="-0.5303154585812637"/>
        <n v="0.24237634661244"/>
        <n v="0.4966661638583905"/>
        <n v="-0.6416354644142549"/>
        <n v="0.2707520343737907"/>
        <n v="-0.6547319356887245"/>
        <n v="2.6450331391745"/>
        <n v="1.222974633288348"/>
        <n v="-0.2809368180632393"/>
        <n v="2.16864899656567"/>
        <n v="0.3531506661423283"/>
        <n v="1.8625189805249442"/>
        <n v="0.493937732342876"/>
        <n v="1.574942298789717"/>
        <n v="-0.571787617617084"/>
        <n v="-0.6083485999249781"/>
        <n v="-0.6934756632090303"/>
        <n v="-0.2252768151467437"/>
        <n v="-0.47083565154304785"/>
        <n v="3.306404938535213"/>
        <n v="1.0636342327823016"/>
        <n v="-0.08285269003688728"/>
        <n v="-0.10195171064548864"/>
        <n v="-0.400442118442774"/>
        <n v="0.6772883301854498"/>
        <n v="-0.23291642339018426"/>
        <n v="-0.47902094608959134"/>
        <n v="0.13433045859806617"/>
        <n v="-0.46647016111822465"/>
        <n v="-0.4550107487530638"/>
        <n v="-0.2569266207267118"/>
        <n v="-0.7371305674572621"/>
        <n v="-0.780785471705494"/>
        <n v="0.9059308911855641"/>
        <n v="0.9141161857321076"/>
        <n v="2.3749184191385657"/>
        <n v="-0.769871745643436"/>
        <n v="-0.27384289612290164"/>
        <n v="0.14960967508494732"/>
        <n v="0.1485183024787415"/>
        <n v="0.7929738264432642"/>
        <n v="-0.72730821400141"/>
        <n v="-0.5919780108318912"/>
        <n v="-0.8162550814071824"/>
        <n v="0.22000320818522118"/>
        <n v="0.8371744169945989"/>
        <n v="0.295853604316524"/>
        <n v="0.8469967704504511"/>
        <n v="-0.5352266353091898"/>
        <n v="-0.6241735027149622"/>
        <n v="-0.507396633850942"/>
        <n v="-0.46374172960271015"/>
        <n v="0.124508105142214"/>
        <n v="1.0860073712095204"/>
        <n v="-0.40753604038311164"/>
        <n v="-0.6972954673307505"/>
        <n v="1.1460328645508393"/>
        <n v="0.02082770755266336"/>
        <n v="0.4251812581519109"/>
        <n v="4.387409504982054"/>
        <n v="-0.4839321228175174"/>
        <n v="2.9598941360648725"/>
        <n v="3.29276278095764"/>
        <n v="2.7361627517926843"/>
        <n v="0.0688481022257184"/>
        <n v="0.4453716513667181"/>
        <n v="0.1545208518128734"/>
        <n v="-0.7464072346100113"/>
        <n v="0.23255399315658784"/>
        <n v="-0.32186329079595666"/>
        <n v="-0.3687923128628059"/>
        <n v="-0.5657850682829522"/>
        <n v="-0.06320798312518294"/>
        <n v="-0.619808012290139"/>
        <n v="-0.49484584887957533"/>
        <n v="1.0952840383622697"/>
        <n v="1.7310085814771459"/>
        <n v="-0.2869393673973712"/>
        <n v="-0.23018799187466976"/>
        <n v="-0.7185772331517636"/>
        <n v="2.609563529472812"/>
        <n v="1.0712738410257423"/>
        <n v="2.1926591939021978"/>
        <n v="0.016462217127840177"/>
        <n v="-0.3349597620704262"/>
        <n v="-0.5434119298557333"/>
        <n v="-0.6394527192018433"/>
        <n v="-0.16961681223024808"/>
        <n v="-0.82334900334752"/>
        <n v="0.2440134055217487"/>
        <n v="0.5141281255576833"/>
        <n v="-0.5003027119106044"/>
        <n v="-0.7726001771589505"/>
        <n v="-0.15815739986508723"/>
        <n v="-0.40098780474587686"/>
        <n v="-0.34205368401076386"/>
        <n v="-0.2531068166049915"/>
        <n v="-0.7933362566768606"/>
        <n v="-0.779475824578047"/>
        <n v="-0.6672827206600912"/>
        <n v="2.079156442856795"/>
        <n v="3.1263284585112565"/>
        <n v="-0.03483229536383225"/>
        <n v="-0.32077191818975087"/>
        <n v="-0.8161459441465617"/>
        <n v="-0.7404046852758795"/>
        <n v="1.0669083506009192"/>
        <n v="-0.7916991977675519"/>
        <n v="0.9353979515531206"/>
        <n v="-0.15433759574336695"/>
        <n v="-0.4331832966289479"/>
        <n v="3.6982077041630936"/>
        <n v="-0.7556839017627607"/>
        <n v="-0.29185054412529726"/>
        <n v="-0.49539153518267826"/>
        <n v="-0.6612801713259593"/>
        <n v="-0.3938938828055392"/>
        <n v="-0.6088942862280811"/>
        <n v="1.4341552325891695"/>
        <n v="-0.12814465319442783"/>
        <n v="-0.5625109504643347"/>
        <n v="-0.7900621388582433"/>
        <n v="-0.3049470153997668"/>
        <n v="-0.14178681077200028"/>
        <n v="0.02464751167438365"/>
        <n v="-0.6869274275717955"/>
        <n v="1.1176571767894885"/>
        <n v="0.25383575897760086"/>
        <n v="-0.6967497810276476"/>
        <n v="-0.26729466048566686"/>
        <n v="-0.7016609577555737"/>
        <n v="-0.5619652641612318"/>
        <n v="0.7127579398871382"/>
        <n v="-0.8189835129226969"/>
        <n v="0.06229986658848362"/>
        <n v="-0.7507727250348346"/>
        <n v="-0.4795666323926942"/>
        <n v="-0.7453158620038056"/>
        <n v="-0.8102525320730505"/>
        <n v="-0.6427268370204607"/>
        <n v="-0.5963435012567144"/>
        <n v="-0.427180747294816"/>
        <n v="1.5361985712694113"/>
        <n v="-0.19089857805126112"/>
        <n v="-0.8146180224978736"/>
        <n v="-0.6650999754476795"/>
        <n v="0.28930536867928924"/>
        <n v="-0.5428662435526304"/>
        <n v="-0.7993388060109925"/>
        <n v="-0.4932087899702667"/>
        <n v="2.117354484073998"/>
        <n v="0.836628730691496"/>
        <n v="2.1424560540167312"/>
        <n v="3.251836308224923"/>
        <n v="-0.6831076234500753"/>
        <n v="-0.10468014216100312"/>
        <n v="-0.47754759307121347"/>
        <n v="-0.523767222944029"/>
      </sharedItems>
    </cacheField>
    <cacheField name="Average Box Office Profit" formula="average('Box Office Revenue ($)')- average('Budget ($)')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Dashboard" cacheId="0" dataCaption="" rowGrandTotals="0" compact="0" compactData="0">
  <location ref="A1:D6" firstHeaderRow="0" firstDataRow="2" firstDataCol="0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Year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Z-Score (Budget)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name="Z-Score (Revenue)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name=" " compact="0" outline="0" multipleItemSelectionAllowed="1" showAll="0">
      <items>
        <item x="0"/>
        <item x="1"/>
        <item x="2"/>
        <item x="3"/>
        <item t="default"/>
      </items>
    </pivotField>
    <pivotField name=" 2" compact="0" numFmtId="4" outline="0" multipleItemSelectionAllowed="1" showAll="0">
      <items>
        <item x="0"/>
        <item x="1"/>
        <item x="2"/>
        <item x="3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1"/>
  </rowFields>
  <colFields>
    <field x="-2"/>
  </colFields>
  <dataFields>
    <dataField name="Average Budget" fld="12" subtotal="average" baseField="0"/>
    <dataField name="Average Box Office Revenue" fld="14" subtotal="average" baseField="0"/>
    <dataField name="SUM of Average Box Office Profit" fld="18" baseField="0"/>
  </dataFields>
</pivotTableDefinition>
</file>

<file path=xl/pivotTables/pivotTable2.xml><?xml version="1.0" encoding="utf-8"?>
<pivotTableDefinition xmlns="http://schemas.openxmlformats.org/spreadsheetml/2006/main" name="Dashboard 2" cacheId="1" dataCaption="" rowGrandTotals="0" compact="0" compactData="0">
  <location ref="A19:D37" firstHeaderRow="0" firstDataRow="2" firstDataCol="0"/>
  <pivotFields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t="default"/>
      </items>
    </pivotField>
    <pivotField name="Rele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t="default"/>
      </items>
    </pivotField>
    <pivotField name="Genre" axis="axisRow" compact="0" numFmtId="166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h="1" x="17"/>
        <item x="18"/>
        <item t="default"/>
      </items>
      <autoSortScope>
        <pivotArea>
          <references>
            <reference field="4294967294">
              <x v="2"/>
            </reference>
          </references>
        </pivotArea>
      </autoSortScope>
    </pivotField>
    <pivotField name="Budget" dataField="1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t="default"/>
      </items>
    </pivotField>
    <pivotField name="Box Office Revenue" dataField="1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2"/>
  </rowFields>
  <colFields>
    <field x="-2"/>
  </colFields>
  <dataFields>
    <dataField name="Average Budget" fld="3" subtotal="average" baseField="0"/>
    <dataField name="Average Box Office Revenue" fld="4" subtotal="average" baseField="0"/>
    <dataField name="SUM of Average Box Office Profit" fld="5" baseField="0"/>
  </dataFields>
</pivotTableDefinition>
</file>

<file path=xl/pivotTables/pivotTable3.xml><?xml version="1.0" encoding="utf-8"?>
<pivotTableDefinition xmlns="http://schemas.openxmlformats.org/spreadsheetml/2006/main" name="Dashboard 3" cacheId="1" dataCaption="" rowGrandTotals="0" compact="0" compactData="0">
  <location ref="A42:B60" firstHeaderRow="0" firstDataRow="1" firstDataCol="0"/>
  <pivotFields>
    <pivotField name="Titl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t="default"/>
      </items>
    </pivotField>
    <pivotField name="Rele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t="default"/>
      </items>
    </pivotField>
    <pivotField name="Genre" axis="axisRow" compact="0" numFmtId="166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h="1" x="17"/>
        <item x="18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Budget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t="default"/>
      </items>
    </pivotField>
    <pivotField name="Box Office Revenu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t="default"/>
      </items>
    </pivotField>
    <pivotField compact="0" outline="0" subtotalTop="0" dragToRow="0" dragToCol="0" dragToPage="0" showAll="0" includeNewItemsInFilter="1" defaultSubtotal="0"/>
  </pivotFields>
  <rowFields>
    <field x="2"/>
  </rowFields>
  <dataFields>
    <dataField name="Number of Titles" fld="0" subtotal="count" baseField="0"/>
  </dataFields>
</pivotTableDefinition>
</file>

<file path=xl/pivotTables/pivotTable4.xml><?xml version="1.0" encoding="utf-8"?>
<pivotTableDefinition xmlns="http://schemas.openxmlformats.org/spreadsheetml/2006/main" name="Dashboard 4" cacheId="2" dataCaption="" rowGrandTotals="0" compact="0" compactData="0">
  <location ref="C42:D52" firstHeaderRow="0" firstDataRow="1" firstDataCol="0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Primary Director" axis="axisRow" compact="0" outline="0" multipleItemSelectionAllowed="1" showAll="0" sortType="descending">
      <items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x="75"/>
        <item h="1" x="76"/>
        <item h="1" x="77"/>
        <item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x="317"/>
        <item h="1" x="318"/>
        <item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x="367"/>
        <item h="1" x="368"/>
        <item h="1" x="369"/>
        <item h="1" x="370"/>
        <item h="1" x="371"/>
        <item h="1" x="372"/>
        <item h="1" x="373"/>
        <item h="1" x="374"/>
        <item h="1" x="375"/>
        <item h="1" x="376"/>
        <item h="1" x="377"/>
        <item h="1" x="378"/>
        <item h="1" x="379"/>
        <item h="1" x="380"/>
        <item h="1" x="381"/>
        <item h="1" x="382"/>
        <item h="1" x="383"/>
        <item h="1" x="384"/>
        <item h="1" x="385"/>
        <item h="1" x="386"/>
        <item h="1" x="387"/>
        <item h="1" x="388"/>
        <item h="1" x="389"/>
        <item h="1" x="390"/>
        <item h="1" x="391"/>
        <item h="1" x="392"/>
        <item h="1" x="393"/>
        <item h="1" x="394"/>
        <item h="1" x="395"/>
        <item h="1" x="396"/>
        <item h="1" x="397"/>
        <item h="1" x="398"/>
        <item h="1" x="399"/>
        <item h="1" x="400"/>
        <item h="1" x="401"/>
        <item h="1" x="402"/>
        <item h="1" x="403"/>
        <item h="1" x="404"/>
        <item h="1" x="405"/>
        <item h="1" x="406"/>
        <item h="1" x="407"/>
        <item h="1" x="408"/>
        <item h="1" x="409"/>
        <item h="1" x="410"/>
        <item h="1" x="411"/>
        <item h="1" x="412"/>
        <item h="1" x="413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Z-Score (Budget)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name="Z-Score (Revenue)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5"/>
  </rowFields>
  <dataFields>
    <dataField name="SUM of Average Box Office Profit" fld="16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Love_the_Coopers" TargetMode="External"/><Relationship Id="rId194" Type="http://schemas.openxmlformats.org/officeDocument/2006/relationships/hyperlink" Target="https://en.wikipedia.org/wiki/Magic_in_the_Moonlight" TargetMode="External"/><Relationship Id="rId193" Type="http://schemas.openxmlformats.org/officeDocument/2006/relationships/hyperlink" Target="https://en.wikipedia.org/wiki/Madagascar_3:_Europe%2527s_Most_Wanted" TargetMode="External"/><Relationship Id="rId192" Type="http://schemas.openxmlformats.org/officeDocument/2006/relationships/hyperlink" Target="https://en.wikipedia.org/wiki/Mad_Max:_Fury_Road" TargetMode="External"/><Relationship Id="rId191" Type="http://schemas.openxmlformats.org/officeDocument/2006/relationships/hyperlink" Target="https://en.wikipedia.org/wiki/Lucy_(2014_film)" TargetMode="External"/><Relationship Id="rId187" Type="http://schemas.openxmlformats.org/officeDocument/2006/relationships/hyperlink" Target="https://en.wikipedia.org/wiki/Lockout_(film)" TargetMode="External"/><Relationship Id="rId186" Type="http://schemas.openxmlformats.org/officeDocument/2006/relationships/hyperlink" Target="https://en.wikipedia.org/wiki/Little_Boy_(film)" TargetMode="External"/><Relationship Id="rId185" Type="http://schemas.openxmlformats.org/officeDocument/2006/relationships/hyperlink" Target="https://en.wikipedia.org/wiki/Lincoln_(2012_film)" TargetMode="External"/><Relationship Id="rId184" Type="http://schemas.openxmlformats.org/officeDocument/2006/relationships/hyperlink" Target="https://en.wikipedia.org/wiki/Lights_Out_(2016_film)" TargetMode="External"/><Relationship Id="rId189" Type="http://schemas.openxmlformats.org/officeDocument/2006/relationships/hyperlink" Target="https://en.wikipedia.org/wiki/Looper_(film)" TargetMode="External"/><Relationship Id="rId188" Type="http://schemas.openxmlformats.org/officeDocument/2006/relationships/hyperlink" Target="https://en.wikipedia.org/wiki/London_Has_Fallen" TargetMode="External"/><Relationship Id="rId183" Type="http://schemas.openxmlformats.org/officeDocument/2006/relationships/hyperlink" Target="https://en.wikipedia.org/wiki/Life_of_Pi_(film)" TargetMode="External"/><Relationship Id="rId182" Type="http://schemas.openxmlformats.org/officeDocument/2006/relationships/hyperlink" Target="https://en.wikipedia.org/wiki/Let%2527s_Be_Cops" TargetMode="External"/><Relationship Id="rId181" Type="http://schemas.openxmlformats.org/officeDocument/2006/relationships/hyperlink" Target="https://en.wikipedia.org/wiki/Les_Mis%25C3%25A9rables_(2012_film)" TargetMode="External"/><Relationship Id="rId180" Type="http://schemas.openxmlformats.org/officeDocument/2006/relationships/hyperlink" Target="https://en.wikipedia.org/wiki/Left_Behind_(2014_film)" TargetMode="External"/><Relationship Id="rId176" Type="http://schemas.openxmlformats.org/officeDocument/2006/relationships/hyperlink" Target="https://en.wikipedia.org/wiki/Krampus_(film)" TargetMode="External"/><Relationship Id="rId297" Type="http://schemas.openxmlformats.org/officeDocument/2006/relationships/hyperlink" Target="https://en.wikipedia.org/wiki/Scary_Movie_5" TargetMode="External"/><Relationship Id="rId175" Type="http://schemas.openxmlformats.org/officeDocument/2006/relationships/hyperlink" Target="https://en.wikipedia.org/wiki/Kingsman:_The_Secret_Service" TargetMode="External"/><Relationship Id="rId296" Type="http://schemas.openxmlformats.org/officeDocument/2006/relationships/hyperlink" Target="https://en.wikipedia.org/wiki/Savages_(2012_film)" TargetMode="External"/><Relationship Id="rId174" Type="http://schemas.openxmlformats.org/officeDocument/2006/relationships/hyperlink" Target="https://en.wikipedia.org/wiki/Killing_Them_Softly" TargetMode="External"/><Relationship Id="rId295" Type="http://schemas.openxmlformats.org/officeDocument/2006/relationships/hyperlink" Target="https://en.wikipedia.org/wiki/Salmon_Fishing_in_the_Yemen" TargetMode="External"/><Relationship Id="rId173" Type="http://schemas.openxmlformats.org/officeDocument/2006/relationships/hyperlink" Target="https://en.wikipedia.org/wiki/Kill_the_Messenger_(2014_film)" TargetMode="External"/><Relationship Id="rId294" Type="http://schemas.openxmlformats.org/officeDocument/2006/relationships/hyperlink" Target="https://en.wikipedia.org/wiki/Safe_House_(2012_film)" TargetMode="External"/><Relationship Id="rId179" Type="http://schemas.openxmlformats.org/officeDocument/2006/relationships/hyperlink" Target="https://en.wikipedia.org/wiki/Lazer_Team" TargetMode="External"/><Relationship Id="rId178" Type="http://schemas.openxmlformats.org/officeDocument/2006/relationships/hyperlink" Target="https://en.wikipedia.org/wiki/Kung_Fu_Panda_3" TargetMode="External"/><Relationship Id="rId299" Type="http://schemas.openxmlformats.org/officeDocument/2006/relationships/hyperlink" Target="https://en.wikipedia.org/wiki/Self/less" TargetMode="External"/><Relationship Id="rId177" Type="http://schemas.openxmlformats.org/officeDocument/2006/relationships/hyperlink" Target="https://en.wikipedia.org/wiki/Kubo_and_the_Two_Strings" TargetMode="External"/><Relationship Id="rId298" Type="http://schemas.openxmlformats.org/officeDocument/2006/relationships/hyperlink" Target="https://en.wikipedia.org/wiki/Secret_in_Their_Eyes" TargetMode="External"/><Relationship Id="rId198" Type="http://schemas.openxmlformats.org/officeDocument/2006/relationships/hyperlink" Target="https://en.wikipedia.org/wiki/Max_(2015_film)" TargetMode="External"/><Relationship Id="rId197" Type="http://schemas.openxmlformats.org/officeDocument/2006/relationships/hyperlink" Target="https://en.wikipedia.org/wiki/Man_on_a_Ledge" TargetMode="External"/><Relationship Id="rId196" Type="http://schemas.openxmlformats.org/officeDocument/2006/relationships/hyperlink" Target="https://en.wikipedia.org/wiki/Man_of_Steel_(film)" TargetMode="External"/><Relationship Id="rId195" Type="http://schemas.openxmlformats.org/officeDocument/2006/relationships/hyperlink" Target="https://en.wikipedia.org/wiki/Mama_(2013_film)" TargetMode="External"/><Relationship Id="rId199" Type="http://schemas.openxmlformats.org/officeDocument/2006/relationships/hyperlink" Target="https://en.wikipedia.org/wiki/Maze_Runner:_The_Scorch_Trials" TargetMode="External"/><Relationship Id="rId150" Type="http://schemas.openxmlformats.org/officeDocument/2006/relationships/hyperlink" Target="https://en.wikipedia.org/wiki/Ice_Age:_Continental_Drift" TargetMode="External"/><Relationship Id="rId271" Type="http://schemas.openxmlformats.org/officeDocument/2006/relationships/hyperlink" Target="https://en.wikipedia.org/wiki/Rams_(film)" TargetMode="External"/><Relationship Id="rId392" Type="http://schemas.openxmlformats.org/officeDocument/2006/relationships/hyperlink" Target="https://en.wikipedia.org/wiki/The_Impossible_(2012_film)" TargetMode="External"/><Relationship Id="rId270" Type="http://schemas.openxmlformats.org/officeDocument/2006/relationships/hyperlink" Target="https://en.wikipedia.org/wiki/Raiders_of_the_Lost_Ark" TargetMode="External"/><Relationship Id="rId391" Type="http://schemas.openxmlformats.org/officeDocument/2006/relationships/hyperlink" Target="https://en.wikipedia.org/wiki/The_Imitation_Game" TargetMode="External"/><Relationship Id="rId390" Type="http://schemas.openxmlformats.org/officeDocument/2006/relationships/hyperlink" Target="https://en.wikipedia.org/wiki/The_Identical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en.wikipedia.org/wiki/10_Cloverfield_Lane" TargetMode="External"/><Relationship Id="rId3" Type="http://schemas.openxmlformats.org/officeDocument/2006/relationships/hyperlink" Target="https://en.wikipedia.org/wiki/13_Hours:_The_Secret_Soldiers_of_Benghazi" TargetMode="External"/><Relationship Id="rId149" Type="http://schemas.openxmlformats.org/officeDocument/2006/relationships/hyperlink" Target="https://en.wikipedia.org/wiki/Ice_Age:_Collision_Course" TargetMode="External"/><Relationship Id="rId4" Type="http://schemas.openxmlformats.org/officeDocument/2006/relationships/hyperlink" Target="https://en.wikipedia.org/wiki/2_Guns" TargetMode="External"/><Relationship Id="rId148" Type="http://schemas.openxmlformats.org/officeDocument/2006/relationships/hyperlink" Target="https://en.wikipedia.org/wiki/I_Saw_the_Light_(film)" TargetMode="External"/><Relationship Id="rId269" Type="http://schemas.openxmlformats.org/officeDocument/2006/relationships/hyperlink" Target="https://en.wikipedia.org/wiki/Race_(2016_film)" TargetMode="External"/><Relationship Id="rId9" Type="http://schemas.openxmlformats.org/officeDocument/2006/relationships/hyperlink" Target="https://en.wikipedia.org/wiki/%252771_(film)" TargetMode="External"/><Relationship Id="rId143" Type="http://schemas.openxmlformats.org/officeDocument/2006/relationships/hyperlink" Target="https://en.wikipedia.org/wiki/Hot_Pursuit_(2015_film)" TargetMode="External"/><Relationship Id="rId264" Type="http://schemas.openxmlformats.org/officeDocument/2006/relationships/hyperlink" Target="https://en.wikipedia.org/wiki/Project_Almanac" TargetMode="External"/><Relationship Id="rId385" Type="http://schemas.openxmlformats.org/officeDocument/2006/relationships/hyperlink" Target="https://en.wikipedia.org/wiki/The_Hunger_Games_(film)" TargetMode="External"/><Relationship Id="rId142" Type="http://schemas.openxmlformats.org/officeDocument/2006/relationships/hyperlink" Target="https://en.wikipedia.org/wiki/Horrible_Bosses_2" TargetMode="External"/><Relationship Id="rId263" Type="http://schemas.openxmlformats.org/officeDocument/2006/relationships/hyperlink" Target="https://en.wikipedia.org/wiki/Prisoners_(2013_film)" TargetMode="External"/><Relationship Id="rId384" Type="http://schemas.openxmlformats.org/officeDocument/2006/relationships/hyperlink" Target="https://en.wikipedia.org/wiki/The_Hundred-Foot_Journey_(film)" TargetMode="External"/><Relationship Id="rId141" Type="http://schemas.openxmlformats.org/officeDocument/2006/relationships/hyperlink" Target="https://en.wikipedia.org/wiki/Hope_Springs_(2012_film)" TargetMode="External"/><Relationship Id="rId262" Type="http://schemas.openxmlformats.org/officeDocument/2006/relationships/hyperlink" Target="https://en.wikipedia.org/wiki/Pride_and_Prejudice_and_Zombies_(film)" TargetMode="External"/><Relationship Id="rId383" Type="http://schemas.openxmlformats.org/officeDocument/2006/relationships/hyperlink" Target="https://en.wikipedia.org/wiki/The_Host_(2013_film)" TargetMode="External"/><Relationship Id="rId140" Type="http://schemas.openxmlformats.org/officeDocument/2006/relationships/hyperlink" Target="https://en.wikipedia.org/wiki/Home_(2015_animated_film)" TargetMode="External"/><Relationship Id="rId261" Type="http://schemas.openxmlformats.org/officeDocument/2006/relationships/hyperlink" Target="https://en.wikipedia.org/wiki/Premium_Rush" TargetMode="External"/><Relationship Id="rId382" Type="http://schemas.openxmlformats.org/officeDocument/2006/relationships/hyperlink" Target="https://en.wikipedia.org/wiki/The_Hobbit:_The_Battle_of_the_Five_Armies" TargetMode="External"/><Relationship Id="rId5" Type="http://schemas.openxmlformats.org/officeDocument/2006/relationships/hyperlink" Target="https://en.wikipedia.org/wiki/21_Jump_Street_(film)" TargetMode="External"/><Relationship Id="rId147" Type="http://schemas.openxmlformats.org/officeDocument/2006/relationships/hyperlink" Target="https://en.wikipedia.org/wiki/I_(film)" TargetMode="External"/><Relationship Id="rId268" Type="http://schemas.openxmlformats.org/officeDocument/2006/relationships/hyperlink" Target="https://en.wikipedia.org/wiki/R.I.P.D." TargetMode="External"/><Relationship Id="rId389" Type="http://schemas.openxmlformats.org/officeDocument/2006/relationships/hyperlink" Target="https://en.wikipedia.org/wiki/The_Iceman_(film)" TargetMode="External"/><Relationship Id="rId6" Type="http://schemas.openxmlformats.org/officeDocument/2006/relationships/hyperlink" Target="https://en.wikipedia.org/wiki/22_Jump_Street" TargetMode="External"/><Relationship Id="rId146" Type="http://schemas.openxmlformats.org/officeDocument/2006/relationships/hyperlink" Target="https://en.wikipedia.org/wiki/How_to_Train_Your_Dragon_2" TargetMode="External"/><Relationship Id="rId267" Type="http://schemas.openxmlformats.org/officeDocument/2006/relationships/hyperlink" Target="https://en.wikipedia.org/wiki/Promised_Land_(2012_film)" TargetMode="External"/><Relationship Id="rId388" Type="http://schemas.openxmlformats.org/officeDocument/2006/relationships/hyperlink" Target="https://en.wikipedia.org/wiki/The_Huntsman:_Winter%2527s_War" TargetMode="External"/><Relationship Id="rId7" Type="http://schemas.openxmlformats.org/officeDocument/2006/relationships/hyperlink" Target="https://en.wikipedia.org/wiki/300:_Rise_of_an_Empire" TargetMode="External"/><Relationship Id="rId145" Type="http://schemas.openxmlformats.org/officeDocument/2006/relationships/hyperlink" Target="https://en.wikipedia.org/wiki/Hotel_Transylvania_2" TargetMode="External"/><Relationship Id="rId266" Type="http://schemas.openxmlformats.org/officeDocument/2006/relationships/hyperlink" Target="https://en.wikipedia.org/wiki/Prometheus_(2012_film)" TargetMode="External"/><Relationship Id="rId387" Type="http://schemas.openxmlformats.org/officeDocument/2006/relationships/hyperlink" Target="https://en.wikipedia.org/wiki/The_Hunger_Games:_Mockingjay_%25E2%2580%2593_Part_2" TargetMode="External"/><Relationship Id="rId8" Type="http://schemas.openxmlformats.org/officeDocument/2006/relationships/hyperlink" Target="https://en.wikipedia.org/wiki/42_(film)" TargetMode="External"/><Relationship Id="rId144" Type="http://schemas.openxmlformats.org/officeDocument/2006/relationships/hyperlink" Target="https://en.wikipedia.org/wiki/Hotel_Transylvania" TargetMode="External"/><Relationship Id="rId265" Type="http://schemas.openxmlformats.org/officeDocument/2006/relationships/hyperlink" Target="https://en.wikipedia.org/wiki/Project_X_(2012_film)" TargetMode="External"/><Relationship Id="rId386" Type="http://schemas.openxmlformats.org/officeDocument/2006/relationships/hyperlink" Target="https://en.wikipedia.org/wiki/The_Hunger_Games:_Mockingjay_%25E2%2580%2593_Part_1" TargetMode="External"/><Relationship Id="rId260" Type="http://schemas.openxmlformats.org/officeDocument/2006/relationships/hyperlink" Target="https://en.wikipedia.org/wiki/Popstar:_Never_Stop_Never_Stopping" TargetMode="External"/><Relationship Id="rId381" Type="http://schemas.openxmlformats.org/officeDocument/2006/relationships/hyperlink" Target="https://en.wikipedia.org/wiki/The_Heat_(film)" TargetMode="External"/><Relationship Id="rId380" Type="http://schemas.openxmlformats.org/officeDocument/2006/relationships/hyperlink" Target="https://en.wikipedia.org/wiki/The_Hateful_Eight" TargetMode="External"/><Relationship Id="rId139" Type="http://schemas.openxmlformats.org/officeDocument/2006/relationships/hyperlink" Target="https://en.wikipedia.org/wiki/Hitman:_Agent_47" TargetMode="External"/><Relationship Id="rId138" Type="http://schemas.openxmlformats.org/officeDocument/2006/relationships/hyperlink" Target="https://en.wikipedia.org/wiki/Hit_and_Run_(2012_film)" TargetMode="External"/><Relationship Id="rId259" Type="http://schemas.openxmlformats.org/officeDocument/2006/relationships/hyperlink" Target="https://en.wikipedia.org/wiki/Pompeii_(film)" TargetMode="External"/><Relationship Id="rId137" Type="http://schemas.openxmlformats.org/officeDocument/2006/relationships/hyperlink" Target="https://en.wikipedia.org/wiki/Here_Comes_the_Boom" TargetMode="External"/><Relationship Id="rId258" Type="http://schemas.openxmlformats.org/officeDocument/2006/relationships/hyperlink" Target="https://en.wikipedia.org/wiki/Poltergeist_(2015_film)" TargetMode="External"/><Relationship Id="rId379" Type="http://schemas.openxmlformats.org/officeDocument/2006/relationships/hyperlink" Target="https://en.wikipedia.org/wiki/The_Hangover_Part_III" TargetMode="External"/><Relationship Id="rId132" Type="http://schemas.openxmlformats.org/officeDocument/2006/relationships/hyperlink" Target="https://en.wikipedia.org/wiki/Grown_Ups_2" TargetMode="External"/><Relationship Id="rId253" Type="http://schemas.openxmlformats.org/officeDocument/2006/relationships/hyperlink" Target="https://en.wikipedia.org/wiki/Pitch_Perfect" TargetMode="External"/><Relationship Id="rId374" Type="http://schemas.openxmlformats.org/officeDocument/2006/relationships/hyperlink" Target="https://en.wikipedia.org/wiki/The_Giver_(film)" TargetMode="External"/><Relationship Id="rId495" Type="http://schemas.openxmlformats.org/officeDocument/2006/relationships/hyperlink" Target="https://en.wikipedia.org/wiki/White_House_Down" TargetMode="External"/><Relationship Id="rId131" Type="http://schemas.openxmlformats.org/officeDocument/2006/relationships/hyperlink" Target="https://en.wikipedia.org/wiki/Goosebumps_(film)" TargetMode="External"/><Relationship Id="rId252" Type="http://schemas.openxmlformats.org/officeDocument/2006/relationships/hyperlink" Target="https://en.wikipedia.org/wiki/Percy_Jackson:_Sea_of_Monsters" TargetMode="External"/><Relationship Id="rId373" Type="http://schemas.openxmlformats.org/officeDocument/2006/relationships/hyperlink" Target="https://en.wikipedia.org/wiki/The_Gift_(2015_film)" TargetMode="External"/><Relationship Id="rId494" Type="http://schemas.openxmlformats.org/officeDocument/2006/relationships/hyperlink" Target="https://en.wikipedia.org/wiki/Whiskey_Tango_Foxtrot_(film)" TargetMode="External"/><Relationship Id="rId130" Type="http://schemas.openxmlformats.org/officeDocument/2006/relationships/hyperlink" Target="https://en.wikipedia.org/wiki/Good_Deeds" TargetMode="External"/><Relationship Id="rId251" Type="http://schemas.openxmlformats.org/officeDocument/2006/relationships/hyperlink" Target="https://en.wikipedia.org/wiki/People_Like_Us_(film)" TargetMode="External"/><Relationship Id="rId372" Type="http://schemas.openxmlformats.org/officeDocument/2006/relationships/hyperlink" Target="https://en.wikipedia.org/wiki/The_Forest_(2016_film)" TargetMode="External"/><Relationship Id="rId493" Type="http://schemas.openxmlformats.org/officeDocument/2006/relationships/hyperlink" Target="https://en.wikipedia.org/wiki/Whiplash_(2014_film)" TargetMode="External"/><Relationship Id="rId250" Type="http://schemas.openxmlformats.org/officeDocument/2006/relationships/hyperlink" Target="https://en.wikipedia.org/wiki/Penguins_of_Madagascar" TargetMode="External"/><Relationship Id="rId371" Type="http://schemas.openxmlformats.org/officeDocument/2006/relationships/hyperlink" Target="https://en.wikipedia.org/wiki/The_Five-Year_Engagement" TargetMode="External"/><Relationship Id="rId492" Type="http://schemas.openxmlformats.org/officeDocument/2006/relationships/hyperlink" Target="https://en.wikipedia.org/wiki/When_the_Game_Stands_Tall" TargetMode="External"/><Relationship Id="rId136" Type="http://schemas.openxmlformats.org/officeDocument/2006/relationships/hyperlink" Target="https://en.wikipedia.org/wiki/Heaven_Is_for_Real_(film)" TargetMode="External"/><Relationship Id="rId257" Type="http://schemas.openxmlformats.org/officeDocument/2006/relationships/hyperlink" Target="https://en.wikipedia.org/wiki/Polis_Evo" TargetMode="External"/><Relationship Id="rId378" Type="http://schemas.openxmlformats.org/officeDocument/2006/relationships/hyperlink" Target="https://en.wikipedia.org/wiki/The_Gunman_(film)" TargetMode="External"/><Relationship Id="rId499" Type="http://schemas.openxmlformats.org/officeDocument/2006/relationships/hyperlink" Target="https://en.wikipedia.org/wiki/Woman_in_Gold_(film)" TargetMode="External"/><Relationship Id="rId135" Type="http://schemas.openxmlformats.org/officeDocument/2006/relationships/hyperlink" Target="https://en.wikipedia.org/wiki/Hansel_and_Gretel:_Witch_Hunters" TargetMode="External"/><Relationship Id="rId256" Type="http://schemas.openxmlformats.org/officeDocument/2006/relationships/hyperlink" Target="https://en.wikipedia.org/wiki/Point_Break_(2015_film)" TargetMode="External"/><Relationship Id="rId377" Type="http://schemas.openxmlformats.org/officeDocument/2006/relationships/hyperlink" Target="https://en.wikipedia.org/wiki/The_Grey_(film)" TargetMode="External"/><Relationship Id="rId498" Type="http://schemas.openxmlformats.org/officeDocument/2006/relationships/hyperlink" Target="https://en.wikipedia.org/wiki/Wish_I_Was_Here" TargetMode="External"/><Relationship Id="rId134" Type="http://schemas.openxmlformats.org/officeDocument/2006/relationships/hyperlink" Target="https://en.wikipedia.org/wiki/Hands_of_Stone" TargetMode="External"/><Relationship Id="rId255" Type="http://schemas.openxmlformats.org/officeDocument/2006/relationships/hyperlink" Target="https://en.wikipedia.org/wiki/Pixels_(2015_film)" TargetMode="External"/><Relationship Id="rId376" Type="http://schemas.openxmlformats.org/officeDocument/2006/relationships/hyperlink" Target="https://en.wikipedia.org/wiki/The_Great_Gatsby_(2013_film)" TargetMode="External"/><Relationship Id="rId497" Type="http://schemas.openxmlformats.org/officeDocument/2006/relationships/hyperlink" Target="https://en.wikipedia.org/wiki/Winter%2527s_Tale_(film)" TargetMode="External"/><Relationship Id="rId133" Type="http://schemas.openxmlformats.org/officeDocument/2006/relationships/hyperlink" Target="https://en.wikipedia.org/wiki/Hail,_Caesar!" TargetMode="External"/><Relationship Id="rId254" Type="http://schemas.openxmlformats.org/officeDocument/2006/relationships/hyperlink" Target="https://en.wikipedia.org/wiki/Pitch_Perfect_2" TargetMode="External"/><Relationship Id="rId375" Type="http://schemas.openxmlformats.org/officeDocument/2006/relationships/hyperlink" Target="https://en.wikipedia.org/wiki/The_Grand_Budapest_Hotel" TargetMode="External"/><Relationship Id="rId496" Type="http://schemas.openxmlformats.org/officeDocument/2006/relationships/hyperlink" Target="https://en.wikipedia.org/wiki/Wild_(2014_film)" TargetMode="External"/><Relationship Id="rId172" Type="http://schemas.openxmlformats.org/officeDocument/2006/relationships/hyperlink" Target="https://en.wikipedia.org/wiki/Keanu_(film)" TargetMode="External"/><Relationship Id="rId293" Type="http://schemas.openxmlformats.org/officeDocument/2006/relationships/hyperlink" Target="https://en.wikipedia.org/wiki/Sabotage_(2014_film)" TargetMode="External"/><Relationship Id="rId171" Type="http://schemas.openxmlformats.org/officeDocument/2006/relationships/hyperlink" Target="https://en.wikipedia.org/wiki/Joy_(film)" TargetMode="External"/><Relationship Id="rId292" Type="http://schemas.openxmlformats.org/officeDocument/2006/relationships/hyperlink" Target="https://en.wikipedia.org/wiki/Rush_(2013_film)" TargetMode="External"/><Relationship Id="rId170" Type="http://schemas.openxmlformats.org/officeDocument/2006/relationships/hyperlink" Target="https://en.wikipedia.org/wiki/Journey_2:_The_Mysterious_Island" TargetMode="External"/><Relationship Id="rId291" Type="http://schemas.openxmlformats.org/officeDocument/2006/relationships/hyperlink" Target="https://en.wikipedia.org/wiki/Runner,_Runner_(film)" TargetMode="External"/><Relationship Id="rId290" Type="http://schemas.openxmlformats.org/officeDocument/2006/relationships/hyperlink" Target="https://en.wikipedia.org/wiki/Run_All_Night_(film)" TargetMode="External"/><Relationship Id="rId165" Type="http://schemas.openxmlformats.org/officeDocument/2006/relationships/hyperlink" Target="https://en.wikipedia.org/wiki/Jeff,_Who_Lives_at_Home" TargetMode="External"/><Relationship Id="rId286" Type="http://schemas.openxmlformats.org/officeDocument/2006/relationships/hyperlink" Target="https://en.wikipedia.org/wiki/Rock_of_Ages_(2012_film)" TargetMode="External"/><Relationship Id="rId164" Type="http://schemas.openxmlformats.org/officeDocument/2006/relationships/hyperlink" Target="https://en.wikipedia.org/wiki/Jason_Bourne_(film)" TargetMode="External"/><Relationship Id="rId285" Type="http://schemas.openxmlformats.org/officeDocument/2006/relationships/hyperlink" Target="https://en.wikipedia.org/wiki/Robot_%2526_Frank" TargetMode="External"/><Relationship Id="rId163" Type="http://schemas.openxmlformats.org/officeDocument/2006/relationships/hyperlink" Target="https://en.wikipedia.org/wiki/Jane_Got_a_Gun" TargetMode="External"/><Relationship Id="rId284" Type="http://schemas.openxmlformats.org/officeDocument/2006/relationships/hyperlink" Target="https://en.wikipedia.org/wiki/RoboCop_(2014_film)" TargetMode="External"/><Relationship Id="rId162" Type="http://schemas.openxmlformats.org/officeDocument/2006/relationships/hyperlink" Target="https://en.wikipedia.org/wiki/Jack_Ryan:_Shadow_Recruit" TargetMode="External"/><Relationship Id="rId283" Type="http://schemas.openxmlformats.org/officeDocument/2006/relationships/hyperlink" Target="https://en.wikipedia.org/wiki/Risen_(2016_film)" TargetMode="External"/><Relationship Id="rId169" Type="http://schemas.openxmlformats.org/officeDocument/2006/relationships/hyperlink" Target="https://en.wikipedia.org/wiki/John_Wick_(film)" TargetMode="External"/><Relationship Id="rId168" Type="http://schemas.openxmlformats.org/officeDocument/2006/relationships/hyperlink" Target="https://en.wikipedia.org/wiki/Jobs_(film)" TargetMode="External"/><Relationship Id="rId289" Type="http://schemas.openxmlformats.org/officeDocument/2006/relationships/hyperlink" Target="https://en.wikipedia.org/wiki/Room_(2015_film)" TargetMode="External"/><Relationship Id="rId167" Type="http://schemas.openxmlformats.org/officeDocument/2006/relationships/hyperlink" Target="https://en.wikipedia.org/wiki/Jersey_Boys_(film)" TargetMode="External"/><Relationship Id="rId288" Type="http://schemas.openxmlformats.org/officeDocument/2006/relationships/hyperlink" Target="https://en.wikipedia.org/wiki/Romeo_and_Juliet_(2013_film)" TargetMode="External"/><Relationship Id="rId166" Type="http://schemas.openxmlformats.org/officeDocument/2006/relationships/hyperlink" Target="https://en.wikipedia.org/wiki/Jem_and_the_Holograms_(film)" TargetMode="External"/><Relationship Id="rId287" Type="http://schemas.openxmlformats.org/officeDocument/2006/relationships/hyperlink" Target="https://en.wikipedia.org/wiki/Rock_the_Kasbah_(film)" TargetMode="External"/><Relationship Id="rId161" Type="http://schemas.openxmlformats.org/officeDocument/2006/relationships/hyperlink" Target="https://en.wikipedia.org/wiki/Jack_Reacher_(film)" TargetMode="External"/><Relationship Id="rId282" Type="http://schemas.openxmlformats.org/officeDocument/2006/relationships/hyperlink" Target="https://en.wikipedia.org/wiki/Rise_of_the_Guardians" TargetMode="External"/><Relationship Id="rId160" Type="http://schemas.openxmlformats.org/officeDocument/2006/relationships/hyperlink" Target="https://en.wikipedia.org/wiki/Irrational_Man_(film)" TargetMode="External"/><Relationship Id="rId281" Type="http://schemas.openxmlformats.org/officeDocument/2006/relationships/hyperlink" Target="https://en.wikipedia.org/wiki/Rio_2" TargetMode="External"/><Relationship Id="rId280" Type="http://schemas.openxmlformats.org/officeDocument/2006/relationships/hyperlink" Target="https://en.wikipedia.org/wiki/Ride_Along_2" TargetMode="External"/><Relationship Id="rId159" Type="http://schemas.openxmlformats.org/officeDocument/2006/relationships/hyperlink" Target="https://en.wikipedia.org/wiki/Iron_Sky" TargetMode="External"/><Relationship Id="rId154" Type="http://schemas.openxmlformats.org/officeDocument/2006/relationships/hyperlink" Target="https://en.wikipedia.org/wiki/Independence_Day:_Resurgence" TargetMode="External"/><Relationship Id="rId275" Type="http://schemas.openxmlformats.org/officeDocument/2006/relationships/hyperlink" Target="https://en.wikipedia.org/wiki/Red_Tails" TargetMode="External"/><Relationship Id="rId396" Type="http://schemas.openxmlformats.org/officeDocument/2006/relationships/hyperlink" Target="https://en.wikipedia.org/wiki/The_Internship" TargetMode="External"/><Relationship Id="rId153" Type="http://schemas.openxmlformats.org/officeDocument/2006/relationships/hyperlink" Target="https://en.wikipedia.org/wiki/In_the_Heart_of_the_Sea_(film)" TargetMode="External"/><Relationship Id="rId274" Type="http://schemas.openxmlformats.org/officeDocument/2006/relationships/hyperlink" Target="https://en.wikipedia.org/wiki/Red_Dawn_(2012_film)" TargetMode="External"/><Relationship Id="rId395" Type="http://schemas.openxmlformats.org/officeDocument/2006/relationships/hyperlink" Target="https://en.wikipedia.org/wiki/The_Intern_(2015_film)" TargetMode="External"/><Relationship Id="rId152" Type="http://schemas.openxmlformats.org/officeDocument/2006/relationships/hyperlink" Target="https://en.wikipedia.org/wiki/If_I_Stay_(film)" TargetMode="External"/><Relationship Id="rId273" Type="http://schemas.openxmlformats.org/officeDocument/2006/relationships/hyperlink" Target="https://en.wikipedia.org/wiki/RED_2_(film)" TargetMode="External"/><Relationship Id="rId394" Type="http://schemas.openxmlformats.org/officeDocument/2006/relationships/hyperlink" Target="https://en.wikipedia.org/wiki/The_Infiltrator_(2016_film)" TargetMode="External"/><Relationship Id="rId151" Type="http://schemas.openxmlformats.org/officeDocument/2006/relationships/hyperlink" Target="https://en.wikipedia.org/wiki/Identity_Thief" TargetMode="External"/><Relationship Id="rId272" Type="http://schemas.openxmlformats.org/officeDocument/2006/relationships/hyperlink" Target="https://en.wikipedia.org/wiki/Ratchet_%2526_Clank_(film)" TargetMode="External"/><Relationship Id="rId393" Type="http://schemas.openxmlformats.org/officeDocument/2006/relationships/hyperlink" Target="https://en.wikipedia.org/wiki/The_Incredible_Burt_Wonderstone" TargetMode="External"/><Relationship Id="rId158" Type="http://schemas.openxmlformats.org/officeDocument/2006/relationships/hyperlink" Target="https://en.wikipedia.org/wiki/Into_the_Storm_(2014_film)" TargetMode="External"/><Relationship Id="rId279" Type="http://schemas.openxmlformats.org/officeDocument/2006/relationships/hyperlink" Target="https://en.wikipedia.org/wiki/Ride_Along_(film)" TargetMode="External"/><Relationship Id="rId157" Type="http://schemas.openxmlformats.org/officeDocument/2006/relationships/hyperlink" Target="https://en.wikipedia.org/wiki/Interstellar_(film)" TargetMode="External"/><Relationship Id="rId278" Type="http://schemas.openxmlformats.org/officeDocument/2006/relationships/hyperlink" Target="https://en.wikipedia.org/wiki/Riddick_(film)" TargetMode="External"/><Relationship Id="rId399" Type="http://schemas.openxmlformats.org/officeDocument/2006/relationships/hyperlink" Target="https://en.wikipedia.org/wiki/The_Lady_in_the_Van" TargetMode="External"/><Relationship Id="rId156" Type="http://schemas.openxmlformats.org/officeDocument/2006/relationships/hyperlink" Target="https://en.wikipedia.org/wiki/Insidious:_Chapter_3" TargetMode="External"/><Relationship Id="rId277" Type="http://schemas.openxmlformats.org/officeDocument/2006/relationships/hyperlink" Target="https://en.wikipedia.org/wiki/Ricki_and_the_Flash" TargetMode="External"/><Relationship Id="rId398" Type="http://schemas.openxmlformats.org/officeDocument/2006/relationships/hyperlink" Target="https://en.wikipedia.org/wiki/The_Judge_(2014_film)" TargetMode="External"/><Relationship Id="rId155" Type="http://schemas.openxmlformats.org/officeDocument/2006/relationships/hyperlink" Target="https://en.wikipedia.org/wiki/Insidious:_Chapter_2" TargetMode="External"/><Relationship Id="rId276" Type="http://schemas.openxmlformats.org/officeDocument/2006/relationships/hyperlink" Target="https://en.wikipedia.org/wiki/Resident_Evil:_Retribution" TargetMode="External"/><Relationship Id="rId397" Type="http://schemas.openxmlformats.org/officeDocument/2006/relationships/hyperlink" Target="https://en.wikipedia.org/wiki/The_Interview_(2014_film)" TargetMode="External"/><Relationship Id="rId40" Type="http://schemas.openxmlformats.org/officeDocument/2006/relationships/hyperlink" Target="https://en.wikipedia.org/wiki/Battleship_(film)" TargetMode="External"/><Relationship Id="rId42" Type="http://schemas.openxmlformats.org/officeDocument/2006/relationships/hyperlink" Target="https://en.wikipedia.org/wiki/Beautiful_Creatures_(2013_film)" TargetMode="External"/><Relationship Id="rId41" Type="http://schemas.openxmlformats.org/officeDocument/2006/relationships/hyperlink" Target="https://en.wikipedia.org/wiki/Beasts_of_the_Southern_Wild" TargetMode="External"/><Relationship Id="rId44" Type="http://schemas.openxmlformats.org/officeDocument/2006/relationships/hyperlink" Target="https://en.wikipedia.org/wiki/Ben-Hur_(2016_film)" TargetMode="External"/><Relationship Id="rId43" Type="http://schemas.openxmlformats.org/officeDocument/2006/relationships/hyperlink" Target="https://en.wikipedia.org/wiki/Before_I_Go_to_Sleep_(film)" TargetMode="External"/><Relationship Id="rId46" Type="http://schemas.openxmlformats.org/officeDocument/2006/relationships/hyperlink" Target="https://en.wikipedia.org/wiki/Big_Eyes" TargetMode="External"/><Relationship Id="rId45" Type="http://schemas.openxmlformats.org/officeDocument/2006/relationships/hyperlink" Target="https://en.wikipedia.org/wiki/Beyond_the_Lights" TargetMode="External"/><Relationship Id="rId509" Type="http://schemas.openxmlformats.org/officeDocument/2006/relationships/hyperlink" Target="https://en.wikipedia.org/wiki/Zoolander_2" TargetMode="External"/><Relationship Id="rId508" Type="http://schemas.openxmlformats.org/officeDocument/2006/relationships/hyperlink" Target="https://en.wikipedia.org/wiki/Zhong_Kui:_Snow_Girl_and_the_Dark_Crystal" TargetMode="External"/><Relationship Id="rId503" Type="http://schemas.openxmlformats.org/officeDocument/2006/relationships/hyperlink" Target="https://en.wikipedia.org/wiki/Wrath_of_the_Titans" TargetMode="External"/><Relationship Id="rId502" Type="http://schemas.openxmlformats.org/officeDocument/2006/relationships/hyperlink" Target="https://en.wikipedia.org/wiki/World_War_Z_(film)" TargetMode="External"/><Relationship Id="rId501" Type="http://schemas.openxmlformats.org/officeDocument/2006/relationships/hyperlink" Target="https://en.wikipedia.org/wiki/Woodlawn_(film)" TargetMode="External"/><Relationship Id="rId500" Type="http://schemas.openxmlformats.org/officeDocument/2006/relationships/hyperlink" Target="https://en.wikipedia.org/wiki/Won%2527t_Back_Down_(film)" TargetMode="External"/><Relationship Id="rId507" Type="http://schemas.openxmlformats.org/officeDocument/2006/relationships/hyperlink" Target="https://en.wikipedia.org/wiki/Zero_Dark_Thirty" TargetMode="External"/><Relationship Id="rId506" Type="http://schemas.openxmlformats.org/officeDocument/2006/relationships/hyperlink" Target="https://en.wikipedia.org/wiki/You%2527re_Next" TargetMode="External"/><Relationship Id="rId505" Type="http://schemas.openxmlformats.org/officeDocument/2006/relationships/hyperlink" Target="https://en.wikipedia.org/wiki/X-Men:_Days_of_Future_Past" TargetMode="External"/><Relationship Id="rId504" Type="http://schemas.openxmlformats.org/officeDocument/2006/relationships/hyperlink" Target="https://en.wikipedia.org/wiki/X-Men:_Apocalypse" TargetMode="External"/><Relationship Id="rId48" Type="http://schemas.openxmlformats.org/officeDocument/2006/relationships/hyperlink" Target="https://en.wikipedia.org/wiki/Blackhat_(film)" TargetMode="External"/><Relationship Id="rId47" Type="http://schemas.openxmlformats.org/officeDocument/2006/relationships/hyperlink" Target="https://en.wikipedia.org/wiki/Black_Mass_(film)" TargetMode="External"/><Relationship Id="rId49" Type="http://schemas.openxmlformats.org/officeDocument/2006/relationships/hyperlink" Target="https://en.wikipedia.org/wiki/Blended_(film)" TargetMode="External"/><Relationship Id="rId31" Type="http://schemas.openxmlformats.org/officeDocument/2006/relationships/hyperlink" Target="https://en.wikipedia.org/wiki/Annie_(2014_film)" TargetMode="External"/><Relationship Id="rId30" Type="http://schemas.openxmlformats.org/officeDocument/2006/relationships/hyperlink" Target="https://en.wikipedia.org/wiki/Annabelle_(film)" TargetMode="External"/><Relationship Id="rId33" Type="http://schemas.openxmlformats.org/officeDocument/2006/relationships/hyperlink" Target="https://en.wikipedia.org/wiki/Argo_(2012_film)" TargetMode="External"/><Relationship Id="rId32" Type="http://schemas.openxmlformats.org/officeDocument/2006/relationships/hyperlink" Target="https://en.wikipedia.org/wiki/Ant-Man_(film)" TargetMode="External"/><Relationship Id="rId35" Type="http://schemas.openxmlformats.org/officeDocument/2006/relationships/hyperlink" Target="https://en.wikipedia.org/wiki/Bad_Moms" TargetMode="External"/><Relationship Id="rId34" Type="http://schemas.openxmlformats.org/officeDocument/2006/relationships/hyperlink" Target="https://en.wikipedia.org/wiki/As_Above,_So_Below_(film)" TargetMode="External"/><Relationship Id="rId37" Type="http://schemas.openxmlformats.org/officeDocument/2006/relationships/hyperlink" Target="https://en.wikipedia.org/wiki/Batman_v_Superman:_Dawn_of_Justice" TargetMode="External"/><Relationship Id="rId36" Type="http://schemas.openxmlformats.org/officeDocument/2006/relationships/hyperlink" Target="https://en.wikipedia.org/wiki/Barbershop:_The_Next_Cut" TargetMode="External"/><Relationship Id="rId39" Type="http://schemas.openxmlformats.org/officeDocument/2006/relationships/hyperlink" Target="https://en.wikipedia.org/wiki/Battle_of_the_Year_(film)" TargetMode="External"/><Relationship Id="rId38" Type="http://schemas.openxmlformats.org/officeDocument/2006/relationships/hyperlink" Target="https://en.wikipedia.org/wiki/Batman:_The_Killing_Joke_(film)" TargetMode="External"/><Relationship Id="rId20" Type="http://schemas.openxmlformats.org/officeDocument/2006/relationships/hyperlink" Target="https://en.wikipedia.org/wiki/Abraham_Lincoln:_Vampire_Hunter_(film)" TargetMode="External"/><Relationship Id="rId22" Type="http://schemas.openxmlformats.org/officeDocument/2006/relationships/hyperlink" Target="https://en.wikipedia.org/wiki/Ain%2527t_Them_Bodies_Saints" TargetMode="External"/><Relationship Id="rId21" Type="http://schemas.openxmlformats.org/officeDocument/2006/relationships/hyperlink" Target="https://en.wikipedia.org/wiki/After_Earth" TargetMode="External"/><Relationship Id="rId24" Type="http://schemas.openxmlformats.org/officeDocument/2006/relationships/hyperlink" Target="https://en.wikipedia.org/wiki/Aloha_(film)" TargetMode="External"/><Relationship Id="rId23" Type="http://schemas.openxmlformats.org/officeDocument/2006/relationships/hyperlink" Target="https://en.wikipedia.org/wiki/Alex_Cross_(film)" TargetMode="External"/><Relationship Id="rId409" Type="http://schemas.openxmlformats.org/officeDocument/2006/relationships/hyperlink" Target="https://en.wikipedia.org/wiki/The_Man_from_U.N.C.L.E._(film)" TargetMode="External"/><Relationship Id="rId404" Type="http://schemas.openxmlformats.org/officeDocument/2006/relationships/hyperlink" Target="https://en.wikipedia.org/wiki/The_Legend_of_Hercules" TargetMode="External"/><Relationship Id="rId403" Type="http://schemas.openxmlformats.org/officeDocument/2006/relationships/hyperlink" Target="https://en.wikipedia.org/wiki/The_Lazarus_Effect_(2015_film)" TargetMode="External"/><Relationship Id="rId402" Type="http://schemas.openxmlformats.org/officeDocument/2006/relationships/hyperlink" Target="https://en.wikipedia.org/wiki/The_Last_Witch_Hunter" TargetMode="External"/><Relationship Id="rId401" Type="http://schemas.openxmlformats.org/officeDocument/2006/relationships/hyperlink" Target="https://en.wikipedia.org/wiki/The_Last_Stand_(2013_film)" TargetMode="External"/><Relationship Id="rId408" Type="http://schemas.openxmlformats.org/officeDocument/2006/relationships/hyperlink" Target="https://en.wikipedia.org/wiki/The_Lucky_One_(film)" TargetMode="External"/><Relationship Id="rId407" Type="http://schemas.openxmlformats.org/officeDocument/2006/relationships/hyperlink" Target="https://en.wikipedia.org/wiki/The_Letters_(film)" TargetMode="External"/><Relationship Id="rId406" Type="http://schemas.openxmlformats.org/officeDocument/2006/relationships/hyperlink" Target="https://en.wikipedia.org/wiki/The_Lego_Movie" TargetMode="External"/><Relationship Id="rId405" Type="http://schemas.openxmlformats.org/officeDocument/2006/relationships/hyperlink" Target="https://en.wikipedia.org/wiki/The_Legend_of_Tarzan_(film)" TargetMode="External"/><Relationship Id="rId26" Type="http://schemas.openxmlformats.org/officeDocument/2006/relationships/hyperlink" Target="https://en.wikipedia.org/wiki/American_Reunion" TargetMode="External"/><Relationship Id="rId25" Type="http://schemas.openxmlformats.org/officeDocument/2006/relationships/hyperlink" Target="https://en.wikipedia.org/wiki/Alvin_and_the_Chipmunks:_The_Road_Chip" TargetMode="External"/><Relationship Id="rId28" Type="http://schemas.openxmlformats.org/officeDocument/2006/relationships/hyperlink" Target="https://en.wikipedia.org/wiki/American_Ultra" TargetMode="External"/><Relationship Id="rId27" Type="http://schemas.openxmlformats.org/officeDocument/2006/relationships/hyperlink" Target="https://en.wikipedia.org/wiki/American_Sniper" TargetMode="External"/><Relationship Id="rId400" Type="http://schemas.openxmlformats.org/officeDocument/2006/relationships/hyperlink" Target="https://en.wikipedia.org/wiki/The_Last_Exorcism_Part_II" TargetMode="External"/><Relationship Id="rId29" Type="http://schemas.openxmlformats.org/officeDocument/2006/relationships/hyperlink" Target="https://en.wikipedia.org/wiki/Amy_(2015_film)" TargetMode="External"/><Relationship Id="rId11" Type="http://schemas.openxmlformats.org/officeDocument/2006/relationships/hyperlink" Target="https://en.wikipedia.org/wiki/A_Good_Day_to_Die_Hard" TargetMode="External"/><Relationship Id="rId10" Type="http://schemas.openxmlformats.org/officeDocument/2006/relationships/hyperlink" Target="https://en.wikipedia.org/wiki/90_Minutes_in_Heaven_(film)" TargetMode="External"/><Relationship Id="rId13" Type="http://schemas.openxmlformats.org/officeDocument/2006/relationships/hyperlink" Target="https://en.wikipedia.org/wiki/A_Haunted_House_2" TargetMode="External"/><Relationship Id="rId12" Type="http://schemas.openxmlformats.org/officeDocument/2006/relationships/hyperlink" Target="https://en.wikipedia.org/wiki/A_Haunted_House_(film)" TargetMode="External"/><Relationship Id="rId511" Type="http://schemas.openxmlformats.org/officeDocument/2006/relationships/vmlDrawing" Target="../drawings/vmlDrawing1.vml"/><Relationship Id="rId15" Type="http://schemas.openxmlformats.org/officeDocument/2006/relationships/hyperlink" Target="https://en.wikipedia.org/wiki/A_Most_Violent_Year" TargetMode="External"/><Relationship Id="rId14" Type="http://schemas.openxmlformats.org/officeDocument/2006/relationships/hyperlink" Target="https://en.wikipedia.org/wiki/A_Long_Way_Down_(film)" TargetMode="External"/><Relationship Id="rId17" Type="http://schemas.openxmlformats.org/officeDocument/2006/relationships/hyperlink" Target="https://en.wikipedia.org/wiki/A_Thousand_Words_(film)" TargetMode="External"/><Relationship Id="rId16" Type="http://schemas.openxmlformats.org/officeDocument/2006/relationships/hyperlink" Target="https://en.wikipedia.org/wiki/A_Most_Wanted_Man_(film)" TargetMode="External"/><Relationship Id="rId19" Type="http://schemas.openxmlformats.org/officeDocument/2006/relationships/hyperlink" Target="https://en.wikipedia.org/wiki/A_Walk_in_the_Woods_(film)" TargetMode="External"/><Relationship Id="rId510" Type="http://schemas.openxmlformats.org/officeDocument/2006/relationships/drawing" Target="../drawings/drawing2.xml"/><Relationship Id="rId18" Type="http://schemas.openxmlformats.org/officeDocument/2006/relationships/hyperlink" Target="https://en.wikipedia.org/wiki/A_Walk_Among_the_Tombstones_(film)" TargetMode="External"/><Relationship Id="rId84" Type="http://schemas.openxmlformats.org/officeDocument/2006/relationships/hyperlink" Target="https://en.wikipedia.org/wiki/Despicable_Me_2" TargetMode="External"/><Relationship Id="rId83" Type="http://schemas.openxmlformats.org/officeDocument/2006/relationships/hyperlink" Target="https://en.wikipedia.org/wiki/Deliver_Us_from_Evil_(2014_film)" TargetMode="External"/><Relationship Id="rId86" Type="http://schemas.openxmlformats.org/officeDocument/2006/relationships/hyperlink" Target="https://en.wikipedia.org/wiki/Diary_of_a_Wimpy_Kid:_Dog_Days_(film)" TargetMode="External"/><Relationship Id="rId85" Type="http://schemas.openxmlformats.org/officeDocument/2006/relationships/hyperlink" Target="https://en.wikipedia.org/wiki/Devil%2527s_Due_(film)" TargetMode="External"/><Relationship Id="rId88" Type="http://schemas.openxmlformats.org/officeDocument/2006/relationships/hyperlink" Target="https://en.wikipedia.org/wiki/Django_Unchained" TargetMode="External"/><Relationship Id="rId87" Type="http://schemas.openxmlformats.org/officeDocument/2006/relationships/hyperlink" Target="https://en.wikipedia.org/wiki/Divergent_(film)" TargetMode="External"/><Relationship Id="rId89" Type="http://schemas.openxmlformats.org/officeDocument/2006/relationships/hyperlink" Target="https://en.wikipedia.org/wiki/Dolphin_Tale_2" TargetMode="External"/><Relationship Id="rId80" Type="http://schemas.openxmlformats.org/officeDocument/2006/relationships/hyperlink" Target="https://en.wikipedia.org/wiki/Dead_Man_Down" TargetMode="External"/><Relationship Id="rId82" Type="http://schemas.openxmlformats.org/officeDocument/2006/relationships/hyperlink" Target="https://en.wikipedia.org/wiki/Declaration_of_War_(film)" TargetMode="External"/><Relationship Id="rId81" Type="http://schemas.openxmlformats.org/officeDocument/2006/relationships/hyperlink" Target="https://en.wikipedia.org/wiki/Deadpool_(film)" TargetMode="External"/><Relationship Id="rId73" Type="http://schemas.openxmlformats.org/officeDocument/2006/relationships/hyperlink" Target="https://en.wikipedia.org/wiki/Criminal_(2016_film)" TargetMode="External"/><Relationship Id="rId72" Type="http://schemas.openxmlformats.org/officeDocument/2006/relationships/hyperlink" Target="https://en.wikipedia.org/wiki/Creed_(film)" TargetMode="External"/><Relationship Id="rId75" Type="http://schemas.openxmlformats.org/officeDocument/2006/relationships/hyperlink" Target="https://en.wikipedia.org/wiki/Daddy%2527s_Home_(film)" TargetMode="External"/><Relationship Id="rId74" Type="http://schemas.openxmlformats.org/officeDocument/2006/relationships/hyperlink" Target="https://en.wikipedia.org/wiki/Crimson_Peak" TargetMode="External"/><Relationship Id="rId77" Type="http://schemas.openxmlformats.org/officeDocument/2006/relationships/hyperlink" Target="https://en.wikipedia.org/wiki/Dark_Shadows_(film)" TargetMode="External"/><Relationship Id="rId76" Type="http://schemas.openxmlformats.org/officeDocument/2006/relationships/hyperlink" Target="https://en.wikipedia.org/wiki/Danny_Collins_(film)" TargetMode="External"/><Relationship Id="rId79" Type="http://schemas.openxmlformats.org/officeDocument/2006/relationships/hyperlink" Target="https://en.wikipedia.org/wiki/Dawn_of_the_Planet_of_the_Apes" TargetMode="External"/><Relationship Id="rId78" Type="http://schemas.openxmlformats.org/officeDocument/2006/relationships/hyperlink" Target="https://en.wikipedia.org/wiki/Dark_Skies_(film)" TargetMode="External"/><Relationship Id="rId71" Type="http://schemas.openxmlformats.org/officeDocument/2006/relationships/hyperlink" Target="https://en.wikipedia.org/wiki/Concussion_(2015_film)" TargetMode="External"/><Relationship Id="rId70" Type="http://schemas.openxmlformats.org/officeDocument/2006/relationships/hyperlink" Target="https://en.wikipedia.org/wiki/Cloudy_with_a_Chance_of_Meatballs_2" TargetMode="External"/><Relationship Id="rId62" Type="http://schemas.openxmlformats.org/officeDocument/2006/relationships/hyperlink" Target="https://en.wikipedia.org/wiki/Cesar_Chavez_(film)" TargetMode="External"/><Relationship Id="rId61" Type="http://schemas.openxmlformats.org/officeDocument/2006/relationships/hyperlink" Target="https://en.wikipedia.org/wiki/Central_Intelligence" TargetMode="External"/><Relationship Id="rId64" Type="http://schemas.openxmlformats.org/officeDocument/2006/relationships/hyperlink" Target="https://en.wikipedia.org/wiki/Chasing_Mavericks" TargetMode="External"/><Relationship Id="rId63" Type="http://schemas.openxmlformats.org/officeDocument/2006/relationships/hyperlink" Target="https://en.wikipedia.org/wiki/Chappie_(film)" TargetMode="External"/><Relationship Id="rId66" Type="http://schemas.openxmlformats.org/officeDocument/2006/relationships/hyperlink" Target="https://en.wikipedia.org/wiki/Chernobyl_Diaries" TargetMode="External"/><Relationship Id="rId65" Type="http://schemas.openxmlformats.org/officeDocument/2006/relationships/hyperlink" Target="https://en.wikipedia.org/wiki/Chef_(film)" TargetMode="External"/><Relationship Id="rId68" Type="http://schemas.openxmlformats.org/officeDocument/2006/relationships/hyperlink" Target="https://en.wikipedia.org/wiki/Chronicle_(film)" TargetMode="External"/><Relationship Id="rId67" Type="http://schemas.openxmlformats.org/officeDocument/2006/relationships/hyperlink" Target="https://en.wikipedia.org/wiki/Child_44_(film)" TargetMode="External"/><Relationship Id="rId60" Type="http://schemas.openxmlformats.org/officeDocument/2006/relationships/hyperlink" Target="https://en.wikipedia.org/wiki/Carol_(film)" TargetMode="External"/><Relationship Id="rId69" Type="http://schemas.openxmlformats.org/officeDocument/2006/relationships/hyperlink" Target="https://en.wikipedia.org/wiki/Cloud_Atlas_(film)" TargetMode="External"/><Relationship Id="rId51" Type="http://schemas.openxmlformats.org/officeDocument/2006/relationships/hyperlink" Target="https://en.wikipedia.org/wiki/Boyhood_(film)" TargetMode="External"/><Relationship Id="rId50" Type="http://schemas.openxmlformats.org/officeDocument/2006/relationships/hyperlink" Target="https://en.wikipedia.org/wiki/Blue_Jasmine" TargetMode="External"/><Relationship Id="rId53" Type="http://schemas.openxmlformats.org/officeDocument/2006/relationships/hyperlink" Target="https://en.wikipedia.org/wiki/Bridge_of_Spies_(film)" TargetMode="External"/><Relationship Id="rId52" Type="http://schemas.openxmlformats.org/officeDocument/2006/relationships/hyperlink" Target="https://en.wikipedia.org/wiki/Brick_Mansions" TargetMode="External"/><Relationship Id="rId55" Type="http://schemas.openxmlformats.org/officeDocument/2006/relationships/hyperlink" Target="https://en.wikipedia.org/wiki/Bullet_to_the_Head" TargetMode="External"/><Relationship Id="rId54" Type="http://schemas.openxmlformats.org/officeDocument/2006/relationships/hyperlink" Target="https://en.wikipedia.org/wiki/Brooklyn_(film)" TargetMode="External"/><Relationship Id="rId57" Type="http://schemas.openxmlformats.org/officeDocument/2006/relationships/hyperlink" Target="https://en.wikipedia.org/wiki/By_the_Sea_(2015_film)" TargetMode="External"/><Relationship Id="rId56" Type="http://schemas.openxmlformats.org/officeDocument/2006/relationships/hyperlink" Target="https://en.wikipedia.org/wiki/Burnt_(film)" TargetMode="External"/><Relationship Id="rId59" Type="http://schemas.openxmlformats.org/officeDocument/2006/relationships/hyperlink" Target="https://en.wikipedia.org/wiki/Captive_(2015_film)" TargetMode="External"/><Relationship Id="rId58" Type="http://schemas.openxmlformats.org/officeDocument/2006/relationships/hyperlink" Target="https://en.wikipedia.org/wiki/Captain_America:_The_Winter_Soldier" TargetMode="External"/><Relationship Id="rId107" Type="http://schemas.openxmlformats.org/officeDocument/2006/relationships/hyperlink" Target="https://en.wikipedia.org/wiki/Ex_Machina_(film)" TargetMode="External"/><Relationship Id="rId228" Type="http://schemas.openxmlformats.org/officeDocument/2006/relationships/hyperlink" Target="https://en.wikipedia.org/wiki/No_One_Lives" TargetMode="External"/><Relationship Id="rId349" Type="http://schemas.openxmlformats.org/officeDocument/2006/relationships/hyperlink" Target="https://en.wikipedia.org/wiki/The_Cabin_in_the_Woods" TargetMode="External"/><Relationship Id="rId106" Type="http://schemas.openxmlformats.org/officeDocument/2006/relationships/hyperlink" Target="https://en.wikipedia.org/wiki/Evil_Dead_(2013_film)" TargetMode="External"/><Relationship Id="rId227" Type="http://schemas.openxmlformats.org/officeDocument/2006/relationships/hyperlink" Target="https://en.wikipedia.org/wiki/No_Good_Deed_(2014_film)" TargetMode="External"/><Relationship Id="rId348" Type="http://schemas.openxmlformats.org/officeDocument/2006/relationships/hyperlink" Target="https://en.wikipedia.org/wiki/The_Butler" TargetMode="External"/><Relationship Id="rId469" Type="http://schemas.openxmlformats.org/officeDocument/2006/relationships/hyperlink" Target="https://en.wikipedia.org/wiki/Total_Recall_(2012_film)" TargetMode="External"/><Relationship Id="rId105" Type="http://schemas.openxmlformats.org/officeDocument/2006/relationships/hyperlink" Target="https://en.wikipedia.org/wiki/Escape_from_Planet_Earth" TargetMode="External"/><Relationship Id="rId226" Type="http://schemas.openxmlformats.org/officeDocument/2006/relationships/hyperlink" Target="https://en.wikipedia.org/wiki/No_Escape_(2015_film)" TargetMode="External"/><Relationship Id="rId347" Type="http://schemas.openxmlformats.org/officeDocument/2006/relationships/hyperlink" Target="https://en.wikipedia.org/wiki/The_Boy_(2016_film)" TargetMode="External"/><Relationship Id="rId468" Type="http://schemas.openxmlformats.org/officeDocument/2006/relationships/hyperlink" Target="https://en.wikipedia.org/wiki/Top_Gun" TargetMode="External"/><Relationship Id="rId104" Type="http://schemas.openxmlformats.org/officeDocument/2006/relationships/hyperlink" Target="https://en.wikipedia.org/wiki/Epic_(2013_film)" TargetMode="External"/><Relationship Id="rId225" Type="http://schemas.openxmlformats.org/officeDocument/2006/relationships/hyperlink" Target="https://en.wikipedia.org/wiki/Nine_Lives_(2016_film)" TargetMode="External"/><Relationship Id="rId346" Type="http://schemas.openxmlformats.org/officeDocument/2006/relationships/hyperlink" Target="https://en.wikipedia.org/wiki/The_Boxtrolls" TargetMode="External"/><Relationship Id="rId467" Type="http://schemas.openxmlformats.org/officeDocument/2006/relationships/hyperlink" Target="https://en.wikipedia.org/wiki/Top_Five" TargetMode="External"/><Relationship Id="rId109" Type="http://schemas.openxmlformats.org/officeDocument/2006/relationships/hyperlink" Target="https://en.wikipedia.org/wiki/Fantastic_Four_(2015_film)" TargetMode="External"/><Relationship Id="rId108" Type="http://schemas.openxmlformats.org/officeDocument/2006/relationships/hyperlink" Target="https://en.wikipedia.org/wiki/Eye_in_the_Sky_(2015_film)" TargetMode="External"/><Relationship Id="rId229" Type="http://schemas.openxmlformats.org/officeDocument/2006/relationships/hyperlink" Target="https://en.wikipedia.org/wiki/Noah_(2014_film)" TargetMode="External"/><Relationship Id="rId220" Type="http://schemas.openxmlformats.org/officeDocument/2006/relationships/hyperlink" Target="https://en.wikipedia.org/wiki/Neighbors_(2014_film)" TargetMode="External"/><Relationship Id="rId341" Type="http://schemas.openxmlformats.org/officeDocument/2006/relationships/hyperlink" Target="https://en.wikipedia.org/wiki/The_Big_Short_(film)" TargetMode="External"/><Relationship Id="rId462" Type="http://schemas.openxmlformats.org/officeDocument/2006/relationships/hyperlink" Target="https://en.wikipedia.org/wiki/The_Young_Messiah_(film)" TargetMode="External"/><Relationship Id="rId340" Type="http://schemas.openxmlformats.org/officeDocument/2006/relationships/hyperlink" Target="https://en.wikipedia.org/wiki/The_Best_Exotic_Marigold_Hotel" TargetMode="External"/><Relationship Id="rId461" Type="http://schemas.openxmlformats.org/officeDocument/2006/relationships/hyperlink" Target="https://en.wikipedia.org/wiki/The_World%2527s_End_(film)" TargetMode="External"/><Relationship Id="rId460" Type="http://schemas.openxmlformats.org/officeDocument/2006/relationships/hyperlink" Target="https://en.wikipedia.org/wiki/The_Woman_in_Black:_Angel_of_Death" TargetMode="External"/><Relationship Id="rId103" Type="http://schemas.openxmlformats.org/officeDocument/2006/relationships/hyperlink" Target="https://en.wikipedia.org/wiki/Entourage_(film)" TargetMode="External"/><Relationship Id="rId224" Type="http://schemas.openxmlformats.org/officeDocument/2006/relationships/hyperlink" Target="https://en.wikipedia.org/wiki/Nightcrawler_(film)" TargetMode="External"/><Relationship Id="rId345" Type="http://schemas.openxmlformats.org/officeDocument/2006/relationships/hyperlink" Target="https://en.wikipedia.org/wiki/The_Bourne_Legacy_(film)" TargetMode="External"/><Relationship Id="rId466" Type="http://schemas.openxmlformats.org/officeDocument/2006/relationships/hyperlink" Target="https://en.wikipedia.org/wiki/This_Means_War_(film)" TargetMode="External"/><Relationship Id="rId102" Type="http://schemas.openxmlformats.org/officeDocument/2006/relationships/hyperlink" Target="https://en.wikipedia.org/wiki/Enough_Said_(film)" TargetMode="External"/><Relationship Id="rId223" Type="http://schemas.openxmlformats.org/officeDocument/2006/relationships/hyperlink" Target="https://en.wikipedia.org/wiki/Night_at_the_Museum:_Secret_of_the_Tomb" TargetMode="External"/><Relationship Id="rId344" Type="http://schemas.openxmlformats.org/officeDocument/2006/relationships/hyperlink" Target="https://en.wikipedia.org/wiki/The_Boss_(2016_film)" TargetMode="External"/><Relationship Id="rId465" Type="http://schemas.openxmlformats.org/officeDocument/2006/relationships/hyperlink" Target="https://en.wikipedia.org/wiki/This_Is_Where_I_Leave_You" TargetMode="External"/><Relationship Id="rId101" Type="http://schemas.openxmlformats.org/officeDocument/2006/relationships/hyperlink" Target="https://en.wikipedia.org/wiki/End_of_Watch" TargetMode="External"/><Relationship Id="rId222" Type="http://schemas.openxmlformats.org/officeDocument/2006/relationships/hyperlink" Target="https://en.wikipedia.org/wiki/Nerve_(2016_film)" TargetMode="External"/><Relationship Id="rId343" Type="http://schemas.openxmlformats.org/officeDocument/2006/relationships/hyperlink" Target="https://en.wikipedia.org/wiki/The_Book_of_Life_(2014_film)" TargetMode="External"/><Relationship Id="rId464" Type="http://schemas.openxmlformats.org/officeDocument/2006/relationships/hyperlink" Target="https://en.wikipedia.org/wiki/This_Is_the_End" TargetMode="External"/><Relationship Id="rId100" Type="http://schemas.openxmlformats.org/officeDocument/2006/relationships/hyperlink" Target="https://en.wikipedia.org/wiki/Embrace_of_the_Serpent" TargetMode="External"/><Relationship Id="rId221" Type="http://schemas.openxmlformats.org/officeDocument/2006/relationships/hyperlink" Target="https://en.wikipedia.org/wiki/Neighbors_2:_Sorority_Rising" TargetMode="External"/><Relationship Id="rId342" Type="http://schemas.openxmlformats.org/officeDocument/2006/relationships/hyperlink" Target="https://en.wikipedia.org/wiki/The_Bling_Ring" TargetMode="External"/><Relationship Id="rId463" Type="http://schemas.openxmlformats.org/officeDocument/2006/relationships/hyperlink" Target="https://en.wikipedia.org/wiki/Think_Like_a_Man" TargetMode="External"/><Relationship Id="rId217" Type="http://schemas.openxmlformats.org/officeDocument/2006/relationships/hyperlink" Target="https://en.wikipedia.org/wiki/My_All_American" TargetMode="External"/><Relationship Id="rId338" Type="http://schemas.openxmlformats.org/officeDocument/2006/relationships/hyperlink" Target="https://en.wikipedia.org/wiki/The_Amazing_Spider-Man_(2012_film)" TargetMode="External"/><Relationship Id="rId459" Type="http://schemas.openxmlformats.org/officeDocument/2006/relationships/hyperlink" Target="https://en.wikipedia.org/wiki/The_Woman_in_Black_(2012_film)" TargetMode="External"/><Relationship Id="rId216" Type="http://schemas.openxmlformats.org/officeDocument/2006/relationships/hyperlink" Target="https://en.wikipedia.org/wiki/Mustang_(film)" TargetMode="External"/><Relationship Id="rId337" Type="http://schemas.openxmlformats.org/officeDocument/2006/relationships/hyperlink" Target="https://en.wikipedia.org/wiki/The_Age_of_Adaline" TargetMode="External"/><Relationship Id="rId458" Type="http://schemas.openxmlformats.org/officeDocument/2006/relationships/hyperlink" Target="https://en.wikipedia.org/wiki/The_Wolverine_(film)" TargetMode="External"/><Relationship Id="rId215" Type="http://schemas.openxmlformats.org/officeDocument/2006/relationships/hyperlink" Target="https://en.wikipedia.org/wiki/Mud_(2012_film)" TargetMode="External"/><Relationship Id="rId336" Type="http://schemas.openxmlformats.org/officeDocument/2006/relationships/hyperlink" Target="https://en.wikipedia.org/wiki/The_5th_Wave_(film)" TargetMode="External"/><Relationship Id="rId457" Type="http://schemas.openxmlformats.org/officeDocument/2006/relationships/hyperlink" Target="https://en.wikipedia.org/wiki/The_Witch_(2015_film)" TargetMode="External"/><Relationship Id="rId214" Type="http://schemas.openxmlformats.org/officeDocument/2006/relationships/hyperlink" Target="https://en.wikipedia.org/wiki/Mr._Peabody_%2526_Sherman" TargetMode="External"/><Relationship Id="rId335" Type="http://schemas.openxmlformats.org/officeDocument/2006/relationships/hyperlink" Target="https://en.wikipedia.org/wiki/The_33_(film)" TargetMode="External"/><Relationship Id="rId456" Type="http://schemas.openxmlformats.org/officeDocument/2006/relationships/hyperlink" Target="https://en.wikipedia.org/wiki/The_Wedding_Ringer" TargetMode="External"/><Relationship Id="rId219" Type="http://schemas.openxmlformats.org/officeDocument/2006/relationships/hyperlink" Target="https://en.wikipedia.org/wiki/Need_for_Speed_(film)" TargetMode="External"/><Relationship Id="rId218" Type="http://schemas.openxmlformats.org/officeDocument/2006/relationships/hyperlink" Target="https://en.wikipedia.org/wiki/My_Big_Fat_Greek_Wedding_2" TargetMode="External"/><Relationship Id="rId339" Type="http://schemas.openxmlformats.org/officeDocument/2006/relationships/hyperlink" Target="https://en.wikipedia.org/wiki/The_Angry_Birds_Movie" TargetMode="External"/><Relationship Id="rId330" Type="http://schemas.openxmlformats.org/officeDocument/2006/relationships/hyperlink" Target="https://en.wikipedia.org/wiki/Teenage_Mutant_Ninja_Turtles_(2014_film)" TargetMode="External"/><Relationship Id="rId451" Type="http://schemas.openxmlformats.org/officeDocument/2006/relationships/hyperlink" Target="https://en.wikipedia.org/wiki/The_Visit_(2015_American_film)" TargetMode="External"/><Relationship Id="rId450" Type="http://schemas.openxmlformats.org/officeDocument/2006/relationships/hyperlink" Target="https://en.wikipedia.org/wiki/The_Vatican_Tapes" TargetMode="External"/><Relationship Id="rId213" Type="http://schemas.openxmlformats.org/officeDocument/2006/relationships/hyperlink" Target="https://en.wikipedia.org/wiki/Mother%2527s_Day_(2016_film)" TargetMode="External"/><Relationship Id="rId334" Type="http://schemas.openxmlformats.org/officeDocument/2006/relationships/hyperlink" Target="https://en.wikipedia.org/wiki/That_Awkward_Moment" TargetMode="External"/><Relationship Id="rId455" Type="http://schemas.openxmlformats.org/officeDocument/2006/relationships/hyperlink" Target="https://en.wikipedia.org/wiki/The_Way,_Way_Back" TargetMode="External"/><Relationship Id="rId212" Type="http://schemas.openxmlformats.org/officeDocument/2006/relationships/hyperlink" Target="https://en.wikipedia.org/wiki/Mortdecai_(film)" TargetMode="External"/><Relationship Id="rId333" Type="http://schemas.openxmlformats.org/officeDocument/2006/relationships/hyperlink" Target="https://en.wikipedia.org/wiki/Texas_Chainsaw_3D" TargetMode="External"/><Relationship Id="rId454" Type="http://schemas.openxmlformats.org/officeDocument/2006/relationships/hyperlink" Target="https://en.wikipedia.org/wiki/The_Water_Diviner" TargetMode="External"/><Relationship Id="rId211" Type="http://schemas.openxmlformats.org/officeDocument/2006/relationships/hyperlink" Target="https://en.wikipedia.org/wiki/Moonrise_Kingdom" TargetMode="External"/><Relationship Id="rId332" Type="http://schemas.openxmlformats.org/officeDocument/2006/relationships/hyperlink" Target="https://en.wikipedia.org/wiki/Terminator_Genisys" TargetMode="External"/><Relationship Id="rId453" Type="http://schemas.openxmlformats.org/officeDocument/2006/relationships/hyperlink" Target="https://en.wikipedia.org/wiki/The_Watch_(2012_film)" TargetMode="External"/><Relationship Id="rId210" Type="http://schemas.openxmlformats.org/officeDocument/2006/relationships/hyperlink" Target="https://en.wikipedia.org/wiki/Monster_Hunt" TargetMode="External"/><Relationship Id="rId331" Type="http://schemas.openxmlformats.org/officeDocument/2006/relationships/hyperlink" Target="https://en.wikipedia.org/wiki/Teenage_Mutant_Ninja_Turtles:_Out_of_the_Shadows" TargetMode="External"/><Relationship Id="rId452" Type="http://schemas.openxmlformats.org/officeDocument/2006/relationships/hyperlink" Target="https://en.wikipedia.org/wiki/The_Walk_(2015_film)" TargetMode="External"/><Relationship Id="rId370" Type="http://schemas.openxmlformats.org/officeDocument/2006/relationships/hyperlink" Target="https://en.wikipedia.org/wiki/The_Fault_in_Our_Stars_(film)" TargetMode="External"/><Relationship Id="rId491" Type="http://schemas.openxmlformats.org/officeDocument/2006/relationships/hyperlink" Target="https://en.wikipedia.org/wiki/What_to_Expect_When_You%2527re_Expecting_(film)" TargetMode="External"/><Relationship Id="rId490" Type="http://schemas.openxmlformats.org/officeDocument/2006/relationships/hyperlink" Target="https://en.wikipedia.org/wiki/What_Maisie_Knew_(film)" TargetMode="External"/><Relationship Id="rId129" Type="http://schemas.openxmlformats.org/officeDocument/2006/relationships/hyperlink" Target="https://en.wikipedia.org/wiki/Gone_Girl_(film)" TargetMode="External"/><Relationship Id="rId128" Type="http://schemas.openxmlformats.org/officeDocument/2006/relationships/hyperlink" Target="https://en.wikipedia.org/wiki/Godzilla_(2014_film)" TargetMode="External"/><Relationship Id="rId249" Type="http://schemas.openxmlformats.org/officeDocument/2006/relationships/hyperlink" Target="https://en.wikipedia.org/wiki/Pawn_Sacrifice" TargetMode="External"/><Relationship Id="rId127" Type="http://schemas.openxmlformats.org/officeDocument/2006/relationships/hyperlink" Target="https://en.wikipedia.org/wiki/Gods_of_Egypt_(film)" TargetMode="External"/><Relationship Id="rId248" Type="http://schemas.openxmlformats.org/officeDocument/2006/relationships/hyperlink" Target="https://en.wikipedia.org/wiki/Paul_Blart:_Mall_Cop_2" TargetMode="External"/><Relationship Id="rId369" Type="http://schemas.openxmlformats.org/officeDocument/2006/relationships/hyperlink" Target="https://en.wikipedia.org/wiki/The_Family_(2013_film)" TargetMode="External"/><Relationship Id="rId126" Type="http://schemas.openxmlformats.org/officeDocument/2006/relationships/hyperlink" Target="https://en.wikipedia.org/wiki/God%2527s_Not_Dead_2" TargetMode="External"/><Relationship Id="rId247" Type="http://schemas.openxmlformats.org/officeDocument/2006/relationships/hyperlink" Target="https://en.wikipedia.org/wiki/Parker_(2013_film)" TargetMode="External"/><Relationship Id="rId368" Type="http://schemas.openxmlformats.org/officeDocument/2006/relationships/hyperlink" Target="https://en.wikipedia.org/wiki/The_Expendables_3" TargetMode="External"/><Relationship Id="rId489" Type="http://schemas.openxmlformats.org/officeDocument/2006/relationships/hyperlink" Target="https://en.wikipedia.org/wiki/Warm_Bodies_(film)" TargetMode="External"/><Relationship Id="rId121" Type="http://schemas.openxmlformats.org/officeDocument/2006/relationships/hyperlink" Target="https://en.wikipedia.org/wiki/Get_on_Up_(film)" TargetMode="External"/><Relationship Id="rId242" Type="http://schemas.openxmlformats.org/officeDocument/2006/relationships/hyperlink" Target="https://en.wikipedia.org/wiki/Paper_Towns_(film)" TargetMode="External"/><Relationship Id="rId363" Type="http://schemas.openxmlformats.org/officeDocument/2006/relationships/hyperlink" Target="https://en.wikipedia.org/wiki/The_Drop_(film)" TargetMode="External"/><Relationship Id="rId484" Type="http://schemas.openxmlformats.org/officeDocument/2006/relationships/hyperlink" Target="https://en.wikipedia.org/wiki/Victor_Frankenstein_(film)" TargetMode="External"/><Relationship Id="rId120" Type="http://schemas.openxmlformats.org/officeDocument/2006/relationships/hyperlink" Target="https://en.wikipedia.org/wiki/Get_Hard" TargetMode="External"/><Relationship Id="rId241" Type="http://schemas.openxmlformats.org/officeDocument/2006/relationships/hyperlink" Target="https://en.wikipedia.org/wiki/Pan_(2015_film)" TargetMode="External"/><Relationship Id="rId362" Type="http://schemas.openxmlformats.org/officeDocument/2006/relationships/hyperlink" Target="https://en.wikipedia.org/wiki/The_Divergent_Series:_Insurgent" TargetMode="External"/><Relationship Id="rId483" Type="http://schemas.openxmlformats.org/officeDocument/2006/relationships/hyperlink" Target="https://en.wikipedia.org/wiki/Veronica_Mars_(film)" TargetMode="External"/><Relationship Id="rId240" Type="http://schemas.openxmlformats.org/officeDocument/2006/relationships/hyperlink" Target="https://en.wikipedia.org/wiki/Pain_%2526_Gain" TargetMode="External"/><Relationship Id="rId361" Type="http://schemas.openxmlformats.org/officeDocument/2006/relationships/hyperlink" Target="https://en.wikipedia.org/wiki/The_Divergent_Series:_Allegiant" TargetMode="External"/><Relationship Id="rId482" Type="http://schemas.openxmlformats.org/officeDocument/2006/relationships/hyperlink" Target="https://en.wikipedia.org/wiki/Vampire_Academy_(film)" TargetMode="External"/><Relationship Id="rId360" Type="http://schemas.openxmlformats.org/officeDocument/2006/relationships/hyperlink" Target="https://en.wikipedia.org/wiki/The_Dictator_(2012_film)" TargetMode="External"/><Relationship Id="rId481" Type="http://schemas.openxmlformats.org/officeDocument/2006/relationships/hyperlink" Target="https://en.wikipedia.org/wiki/Vacation_(2015_film)" TargetMode="External"/><Relationship Id="rId125" Type="http://schemas.openxmlformats.org/officeDocument/2006/relationships/hyperlink" Target="https://en.wikipedia.org/wiki/God%2527s_Not_Dead_(film)" TargetMode="External"/><Relationship Id="rId246" Type="http://schemas.openxmlformats.org/officeDocument/2006/relationships/hyperlink" Target="https://en.wikipedia.org/wiki/Parental_Guidance_(film)" TargetMode="External"/><Relationship Id="rId367" Type="http://schemas.openxmlformats.org/officeDocument/2006/relationships/hyperlink" Target="https://en.wikipedia.org/wiki/The_Expendables_2" TargetMode="External"/><Relationship Id="rId488" Type="http://schemas.openxmlformats.org/officeDocument/2006/relationships/hyperlink" Target="https://en.wikipedia.org/wiki/Warcraft_(film)" TargetMode="External"/><Relationship Id="rId124" Type="http://schemas.openxmlformats.org/officeDocument/2006/relationships/hyperlink" Target="https://en.wikipedia.org/wiki/Ghostbusters_(2016_film)" TargetMode="External"/><Relationship Id="rId245" Type="http://schemas.openxmlformats.org/officeDocument/2006/relationships/hyperlink" Target="https://en.wikipedia.org/wiki/ParaNorman" TargetMode="External"/><Relationship Id="rId366" Type="http://schemas.openxmlformats.org/officeDocument/2006/relationships/hyperlink" Target="https://en.wikipedia.org/wiki/The_Equalizer_(film)" TargetMode="External"/><Relationship Id="rId487" Type="http://schemas.openxmlformats.org/officeDocument/2006/relationships/hyperlink" Target="https://en.wikipedia.org/wiki/War_Room_(film)" TargetMode="External"/><Relationship Id="rId123" Type="http://schemas.openxmlformats.org/officeDocument/2006/relationships/hyperlink" Target="https://en.wikipedia.org/wiki/Ghost_Rider:_Spirit_of_Vengeance" TargetMode="External"/><Relationship Id="rId244" Type="http://schemas.openxmlformats.org/officeDocument/2006/relationships/hyperlink" Target="https://en.wikipedia.org/wiki/Paranormal_Activity:_The_Ghost_Dimension" TargetMode="External"/><Relationship Id="rId365" Type="http://schemas.openxmlformats.org/officeDocument/2006/relationships/hyperlink" Target="https://en.wikipedia.org/wiki/The_East_(film)" TargetMode="External"/><Relationship Id="rId486" Type="http://schemas.openxmlformats.org/officeDocument/2006/relationships/hyperlink" Target="https://en.wikipedia.org/wiki/War_Dogs_(2016_film)" TargetMode="External"/><Relationship Id="rId122" Type="http://schemas.openxmlformats.org/officeDocument/2006/relationships/hyperlink" Target="https://en.wikipedia.org/wiki/Getaway_(film)" TargetMode="External"/><Relationship Id="rId243" Type="http://schemas.openxmlformats.org/officeDocument/2006/relationships/hyperlink" Target="https://en.wikipedia.org/wiki/Paranormal_Activity_4" TargetMode="External"/><Relationship Id="rId364" Type="http://schemas.openxmlformats.org/officeDocument/2006/relationships/hyperlink" Target="https://en.wikipedia.org/wiki/The_Duff" TargetMode="External"/><Relationship Id="rId485" Type="http://schemas.openxmlformats.org/officeDocument/2006/relationships/hyperlink" Target="https://en.wikipedia.org/wiki/Wanderlust_(2012_film)" TargetMode="External"/><Relationship Id="rId95" Type="http://schemas.openxmlformats.org/officeDocument/2006/relationships/hyperlink" Target="https://en.wikipedia.org/wiki/Dumb_and_Dumber_To" TargetMode="External"/><Relationship Id="rId94" Type="http://schemas.openxmlformats.org/officeDocument/2006/relationships/hyperlink" Target="https://en.wikipedia.org/wiki/Dragon_Blade_(film)" TargetMode="External"/><Relationship Id="rId97" Type="http://schemas.openxmlformats.org/officeDocument/2006/relationships/hyperlink" Target="https://en.wikipedia.org/wiki/Eddie_the_Eagle_(film)" TargetMode="External"/><Relationship Id="rId96" Type="http://schemas.openxmlformats.org/officeDocument/2006/relationships/hyperlink" Target="https://en.wikipedia.org/wiki/Earth_to_Echo" TargetMode="External"/><Relationship Id="rId99" Type="http://schemas.openxmlformats.org/officeDocument/2006/relationships/hyperlink" Target="https://en.wikipedia.org/wiki/Elysium_(film)" TargetMode="External"/><Relationship Id="rId480" Type="http://schemas.openxmlformats.org/officeDocument/2006/relationships/hyperlink" Target="https://en.wikipedia.org/wiki/Unfriended" TargetMode="External"/><Relationship Id="rId98" Type="http://schemas.openxmlformats.org/officeDocument/2006/relationships/hyperlink" Target="https://en.wikipedia.org/wiki/Edge_of_Tomorrow_(film)" TargetMode="External"/><Relationship Id="rId91" Type="http://schemas.openxmlformats.org/officeDocument/2006/relationships/hyperlink" Target="https://en.wikipedia.org/wiki/The_Lorax_(film)" TargetMode="External"/><Relationship Id="rId90" Type="http://schemas.openxmlformats.org/officeDocument/2006/relationships/hyperlink" Target="https://en.wikipedia.org/wiki/Don%2527t_Breathe_(2016_film)" TargetMode="External"/><Relationship Id="rId93" Type="http://schemas.openxmlformats.org/officeDocument/2006/relationships/hyperlink" Target="https://en.wikipedia.org/wiki/Draft_Day" TargetMode="External"/><Relationship Id="rId92" Type="http://schemas.openxmlformats.org/officeDocument/2006/relationships/hyperlink" Target="https://en.wikipedia.org/wiki/Dracula_Untold" TargetMode="External"/><Relationship Id="rId118" Type="http://schemas.openxmlformats.org/officeDocument/2006/relationships/hyperlink" Target="https://en.wikipedia.org/wiki/G.I._Joe:_Retaliation" TargetMode="External"/><Relationship Id="rId239" Type="http://schemas.openxmlformats.org/officeDocument/2006/relationships/hyperlink" Target="https://en.wikipedia.org/wiki/Pacific_Rim_(film)" TargetMode="External"/><Relationship Id="rId117" Type="http://schemas.openxmlformats.org/officeDocument/2006/relationships/hyperlink" Target="https://en.wikipedia.org/wiki/Fury_(2014_film)" TargetMode="External"/><Relationship Id="rId238" Type="http://schemas.openxmlformats.org/officeDocument/2006/relationships/hyperlink" Target="https://en.wikipedia.org/wiki/Our_Brand_Is_Crisis_(2015_film)" TargetMode="External"/><Relationship Id="rId359" Type="http://schemas.openxmlformats.org/officeDocument/2006/relationships/hyperlink" Target="https://en.wikipedia.org/wiki/The_Devil_Inside_(film)" TargetMode="External"/><Relationship Id="rId116" Type="http://schemas.openxmlformats.org/officeDocument/2006/relationships/hyperlink" Target="https://en.wikipedia.org/wiki/Fun_Size" TargetMode="External"/><Relationship Id="rId237" Type="http://schemas.openxmlformats.org/officeDocument/2006/relationships/hyperlink" Target="https://en.wikipedia.org/wiki/Ouija_(2014_film)" TargetMode="External"/><Relationship Id="rId358" Type="http://schemas.openxmlformats.org/officeDocument/2006/relationships/hyperlink" Target="https://en.wikipedia.org/wiki/The_Darkness_(film)" TargetMode="External"/><Relationship Id="rId479" Type="http://schemas.openxmlformats.org/officeDocument/2006/relationships/hyperlink" Target="https://en.wikipedia.org/wiki/Unfinished_Business_(2015_film)" TargetMode="External"/><Relationship Id="rId115" Type="http://schemas.openxmlformats.org/officeDocument/2006/relationships/hyperlink" Target="https://en.wikipedia.org/wiki/Friends_with_Kids" TargetMode="External"/><Relationship Id="rId236" Type="http://schemas.openxmlformats.org/officeDocument/2006/relationships/hyperlink" Target="https://en.wikipedia.org/wiki/One_for_the_Money_(film)" TargetMode="External"/><Relationship Id="rId357" Type="http://schemas.openxmlformats.org/officeDocument/2006/relationships/hyperlink" Target="https://en.wikipedia.org/wiki/The_Danish_Girl_(film)" TargetMode="External"/><Relationship Id="rId478" Type="http://schemas.openxmlformats.org/officeDocument/2006/relationships/hyperlink" Target="https://en.wikipedia.org/wiki/Unbroken_(film)" TargetMode="External"/><Relationship Id="rId119" Type="http://schemas.openxmlformats.org/officeDocument/2006/relationships/hyperlink" Target="https://en.wikipedia.org/wiki/Gangster_Squad" TargetMode="External"/><Relationship Id="rId110" Type="http://schemas.openxmlformats.org/officeDocument/2006/relationships/hyperlink" Target="https://en.wikipedia.org/wiki/Fast_%2526_Furious_6" TargetMode="External"/><Relationship Id="rId231" Type="http://schemas.openxmlformats.org/officeDocument/2006/relationships/hyperlink" Target="https://en.wikipedia.org/wiki/Now_You_See_Me_(film)" TargetMode="External"/><Relationship Id="rId352" Type="http://schemas.openxmlformats.org/officeDocument/2006/relationships/hyperlink" Target="https://en.wikipedia.org/wiki/The_Cold_Light_of_Day_(film)" TargetMode="External"/><Relationship Id="rId473" Type="http://schemas.openxmlformats.org/officeDocument/2006/relationships/hyperlink" Target="https://en.wikipedia.org/wiki/Trouble_with_the_Curve" TargetMode="External"/><Relationship Id="rId230" Type="http://schemas.openxmlformats.org/officeDocument/2006/relationships/hyperlink" Target="https://en.wikipedia.org/wiki/Non-Stop_(film)" TargetMode="External"/><Relationship Id="rId351" Type="http://schemas.openxmlformats.org/officeDocument/2006/relationships/hyperlink" Target="https://en.wikipedia.org/wiki/The_Campaign_(film)" TargetMode="External"/><Relationship Id="rId472" Type="http://schemas.openxmlformats.org/officeDocument/2006/relationships/hyperlink" Target="https://en.wikipedia.org/wiki/Triple_9" TargetMode="External"/><Relationship Id="rId350" Type="http://schemas.openxmlformats.org/officeDocument/2006/relationships/hyperlink" Target="https://en.wikipedia.org/wiki/The_Call_(2013_film)" TargetMode="External"/><Relationship Id="rId471" Type="http://schemas.openxmlformats.org/officeDocument/2006/relationships/hyperlink" Target="https://en.wikipedia.org/wiki/Transcendence_(2014_film)" TargetMode="External"/><Relationship Id="rId470" Type="http://schemas.openxmlformats.org/officeDocument/2006/relationships/hyperlink" Target="https://en.wikipedia.org/wiki/Trance_(2013_film)" TargetMode="External"/><Relationship Id="rId114" Type="http://schemas.openxmlformats.org/officeDocument/2006/relationships/hyperlink" Target="https://en.wikipedia.org/wiki/Free_State_of_Jones_(film)" TargetMode="External"/><Relationship Id="rId235" Type="http://schemas.openxmlformats.org/officeDocument/2006/relationships/hyperlink" Target="https://en.wikipedia.org/wiki/One_Direction:_This_Is_Us" TargetMode="External"/><Relationship Id="rId356" Type="http://schemas.openxmlformats.org/officeDocument/2006/relationships/hyperlink" Target="https://en.wikipedia.org/wiki/The_Croods" TargetMode="External"/><Relationship Id="rId477" Type="http://schemas.openxmlformats.org/officeDocument/2006/relationships/hyperlink" Target="https://en.wikipedia.org/wiki/Tusk_(2014_film)" TargetMode="External"/><Relationship Id="rId113" Type="http://schemas.openxmlformats.org/officeDocument/2006/relationships/hyperlink" Target="https://en.wikipedia.org/wiki/Frances_Ha" TargetMode="External"/><Relationship Id="rId234" Type="http://schemas.openxmlformats.org/officeDocument/2006/relationships/hyperlink" Target="https://en.wikipedia.org/wiki/Olympus_Has_Fallen" TargetMode="External"/><Relationship Id="rId355" Type="http://schemas.openxmlformats.org/officeDocument/2006/relationships/hyperlink" Target="https://en.wikipedia.org/wiki/The_Conjuring_2" TargetMode="External"/><Relationship Id="rId476" Type="http://schemas.openxmlformats.org/officeDocument/2006/relationships/hyperlink" Target="https://en.wikipedia.org/wiki/Turbo_(film)" TargetMode="External"/><Relationship Id="rId112" Type="http://schemas.openxmlformats.org/officeDocument/2006/relationships/hyperlink" Target="https://en.wikipedia.org/wiki/Florence_Foster_Jenkins_(film)" TargetMode="External"/><Relationship Id="rId233" Type="http://schemas.openxmlformats.org/officeDocument/2006/relationships/hyperlink" Target="https://en.wikipedia.org/wiki/Oblivion_(2013_film)" TargetMode="External"/><Relationship Id="rId354" Type="http://schemas.openxmlformats.org/officeDocument/2006/relationships/hyperlink" Target="https://en.wikipedia.org/wiki/The_Conjuring_(film)" TargetMode="External"/><Relationship Id="rId475" Type="http://schemas.openxmlformats.org/officeDocument/2006/relationships/hyperlink" Target="https://en.wikipedia.org/wiki/Truth_(2015_film)" TargetMode="External"/><Relationship Id="rId111" Type="http://schemas.openxmlformats.org/officeDocument/2006/relationships/hyperlink" Target="https://en.wikipedia.org/wiki/Flight_(2012_film)" TargetMode="External"/><Relationship Id="rId232" Type="http://schemas.openxmlformats.org/officeDocument/2006/relationships/hyperlink" Target="https://en.wikipedia.org/wiki/Now_You_See_Me_2" TargetMode="External"/><Relationship Id="rId353" Type="http://schemas.openxmlformats.org/officeDocument/2006/relationships/hyperlink" Target="https://en.wikipedia.org/wiki/The_Collection_(film)" TargetMode="External"/><Relationship Id="rId474" Type="http://schemas.openxmlformats.org/officeDocument/2006/relationships/hyperlink" Target="https://en.wikipedia.org/wiki/Trumbo_(2015_film)" TargetMode="External"/><Relationship Id="rId305" Type="http://schemas.openxmlformats.org/officeDocument/2006/relationships/hyperlink" Target="https://en.wikipedia.org/wiki/Silent_Hill:_Revelation_3D" TargetMode="External"/><Relationship Id="rId426" Type="http://schemas.openxmlformats.org/officeDocument/2006/relationships/hyperlink" Target="https://en.wikipedia.org/wiki/The_Pirates!_In_an_Adventure_with_Scientists_(film)" TargetMode="External"/><Relationship Id="rId304" Type="http://schemas.openxmlformats.org/officeDocument/2006/relationships/hyperlink" Target="https://en.wikipedia.org/wiki/Side_Effects_(2013_film)" TargetMode="External"/><Relationship Id="rId425" Type="http://schemas.openxmlformats.org/officeDocument/2006/relationships/hyperlink" Target="https://en.wikipedia.org/wiki/The_Perks_of_Being_a_Wallflower_(film)" TargetMode="External"/><Relationship Id="rId303" Type="http://schemas.openxmlformats.org/officeDocument/2006/relationships/hyperlink" Target="https://en.wikipedia.org/wiki/Sicario_(2015_film)" TargetMode="External"/><Relationship Id="rId424" Type="http://schemas.openxmlformats.org/officeDocument/2006/relationships/hyperlink" Target="https://en.wikipedia.org/wiki/The_Perfect_Match_(2016_film)" TargetMode="External"/><Relationship Id="rId302" Type="http://schemas.openxmlformats.org/officeDocument/2006/relationships/hyperlink" Target="https://en.wikipedia.org/wiki/Shaun_the_Sheep_Movie" TargetMode="External"/><Relationship Id="rId423" Type="http://schemas.openxmlformats.org/officeDocument/2006/relationships/hyperlink" Target="https://en.wikipedia.org/wiki/The_Perfect_Guy_(2015_film)" TargetMode="External"/><Relationship Id="rId309" Type="http://schemas.openxmlformats.org/officeDocument/2006/relationships/hyperlink" Target="https://en.wikipedia.org/wiki/Sinister_2" TargetMode="External"/><Relationship Id="rId308" Type="http://schemas.openxmlformats.org/officeDocument/2006/relationships/hyperlink" Target="https://en.wikipedia.org/wiki/Sinister_(film)" TargetMode="External"/><Relationship Id="rId429" Type="http://schemas.openxmlformats.org/officeDocument/2006/relationships/hyperlink" Target="https://en.wikipedia.org/wiki/The_Purge" TargetMode="External"/><Relationship Id="rId307" Type="http://schemas.openxmlformats.org/officeDocument/2006/relationships/hyperlink" Target="https://en.wikipedia.org/wiki/Sin_City:_A_Dame_to_Kill_For" TargetMode="External"/><Relationship Id="rId428" Type="http://schemas.openxmlformats.org/officeDocument/2006/relationships/hyperlink" Target="https://en.wikipedia.org/wiki/The_Possession_(2012_film)" TargetMode="External"/><Relationship Id="rId306" Type="http://schemas.openxmlformats.org/officeDocument/2006/relationships/hyperlink" Target="https://en.wikipedia.org/wiki/Silver_Linings_Playbook" TargetMode="External"/><Relationship Id="rId427" Type="http://schemas.openxmlformats.org/officeDocument/2006/relationships/hyperlink" Target="https://en.wikipedia.org/wiki/The_Place_Beyond_the_Pines" TargetMode="External"/><Relationship Id="rId301" Type="http://schemas.openxmlformats.org/officeDocument/2006/relationships/hyperlink" Target="https://en.wikipedia.org/wiki/Seventh_Son_(film)" TargetMode="External"/><Relationship Id="rId422" Type="http://schemas.openxmlformats.org/officeDocument/2006/relationships/hyperlink" Target="https://en.wikipedia.org/wiki/The_Peanuts_Movie" TargetMode="External"/><Relationship Id="rId300" Type="http://schemas.openxmlformats.org/officeDocument/2006/relationships/hyperlink" Target="https://en.wikipedia.org/wiki/Selma_(film)" TargetMode="External"/><Relationship Id="rId421" Type="http://schemas.openxmlformats.org/officeDocument/2006/relationships/hyperlink" Target="https://en.wikipedia.org/wiki/The_Other_Woman_(2014_film)" TargetMode="External"/><Relationship Id="rId420" Type="http://schemas.openxmlformats.org/officeDocument/2006/relationships/hyperlink" Target="https://en.wikipedia.org/wiki/The_Oogieloves_in_the_Big_Balloon_Adventure" TargetMode="External"/><Relationship Id="rId415" Type="http://schemas.openxmlformats.org/officeDocument/2006/relationships/hyperlink" Target="https://en.wikipedia.org/wiki/The_Monuments_Men" TargetMode="External"/><Relationship Id="rId414" Type="http://schemas.openxmlformats.org/officeDocument/2006/relationships/hyperlink" Target="https://en.wikipedia.org/wiki/The_Mermaid_(2016_film)" TargetMode="External"/><Relationship Id="rId413" Type="http://schemas.openxmlformats.org/officeDocument/2006/relationships/hyperlink" Target="https://en.wikipedia.org/wiki/The_Maze_Runner_(film)" TargetMode="External"/><Relationship Id="rId412" Type="http://schemas.openxmlformats.org/officeDocument/2006/relationships/hyperlink" Target="https://en.wikipedia.org/wiki/The_Master_(2012_film)" TargetMode="External"/><Relationship Id="rId419" Type="http://schemas.openxmlformats.org/officeDocument/2006/relationships/hyperlink" Target="https://en.wikipedia.org/wiki/The_Nut_Job" TargetMode="External"/><Relationship Id="rId418" Type="http://schemas.openxmlformats.org/officeDocument/2006/relationships/hyperlink" Target="https://en.wikipedia.org/wiki/The_November_Man" TargetMode="External"/><Relationship Id="rId417" Type="http://schemas.openxmlformats.org/officeDocument/2006/relationships/hyperlink" Target="https://en.wikipedia.org/wiki/The_Night_Before_(2015_film)" TargetMode="External"/><Relationship Id="rId416" Type="http://schemas.openxmlformats.org/officeDocument/2006/relationships/hyperlink" Target="https://en.wikipedia.org/wiki/The_Mortal_Instruments:_City_of_Bones" TargetMode="External"/><Relationship Id="rId411" Type="http://schemas.openxmlformats.org/officeDocument/2006/relationships/hyperlink" Target="https://en.wikipedia.org/wiki/The_Martian_(film)" TargetMode="External"/><Relationship Id="rId410" Type="http://schemas.openxmlformats.org/officeDocument/2006/relationships/hyperlink" Target="https://en.wikipedia.org/wiki/The_Man_with_the_Iron_Fists" TargetMode="External"/><Relationship Id="rId206" Type="http://schemas.openxmlformats.org/officeDocument/2006/relationships/hyperlink" Target="https://en.wikipedia.org/wiki/Mirror_Mirror_(film)" TargetMode="External"/><Relationship Id="rId327" Type="http://schemas.openxmlformats.org/officeDocument/2006/relationships/hyperlink" Target="https://en.wikipedia.org/wiki/Tammy_(film)" TargetMode="External"/><Relationship Id="rId448" Type="http://schemas.openxmlformats.org/officeDocument/2006/relationships/hyperlink" Target="https://en.wikipedia.org/wiki/The_Transporter_Refueled" TargetMode="External"/><Relationship Id="rId205" Type="http://schemas.openxmlformats.org/officeDocument/2006/relationships/hyperlink" Target="https://en.wikipedia.org/wiki/Miracles_from_Heaven_(film)" TargetMode="External"/><Relationship Id="rId326" Type="http://schemas.openxmlformats.org/officeDocument/2006/relationships/hyperlink" Target="https://en.wikipedia.org/wiki/Taken_2" TargetMode="External"/><Relationship Id="rId447" Type="http://schemas.openxmlformats.org/officeDocument/2006/relationships/hyperlink" Target="https://en.wikipedia.org/wiki/The_Three_Stooges_(film)" TargetMode="External"/><Relationship Id="rId204" Type="http://schemas.openxmlformats.org/officeDocument/2006/relationships/hyperlink" Target="https://en.wikipedia.org/wiki/Midnight_Special_(film)" TargetMode="External"/><Relationship Id="rId325" Type="http://schemas.openxmlformats.org/officeDocument/2006/relationships/hyperlink" Target="https://en.wikipedia.org/wiki/Suicide_Squad_(film)" TargetMode="External"/><Relationship Id="rId446" Type="http://schemas.openxmlformats.org/officeDocument/2006/relationships/hyperlink" Target="https://en.wikipedia.org/wiki/The_Theory_of_Everything_(2014_film)" TargetMode="External"/><Relationship Id="rId203" Type="http://schemas.openxmlformats.org/officeDocument/2006/relationships/hyperlink" Target="https://en.wikipedia.org/wiki/Men_in_Black_3" TargetMode="External"/><Relationship Id="rId324" Type="http://schemas.openxmlformats.org/officeDocument/2006/relationships/hyperlink" Target="https://en.wikipedia.org/wiki/Suffragette_(film)" TargetMode="External"/><Relationship Id="rId445" Type="http://schemas.openxmlformats.org/officeDocument/2006/relationships/hyperlink" Target="https://en.wikipedia.org/wiki/The_Sweet_Escape_(film)" TargetMode="External"/><Relationship Id="rId209" Type="http://schemas.openxmlformats.org/officeDocument/2006/relationships/hyperlink" Target="https://en.wikipedia.org/wiki/Money_Monster" TargetMode="External"/><Relationship Id="rId208" Type="http://schemas.openxmlformats.org/officeDocument/2006/relationships/hyperlink" Target="https://en.wikipedia.org/wiki/Moms%2527_Night_Out" TargetMode="External"/><Relationship Id="rId329" Type="http://schemas.openxmlformats.org/officeDocument/2006/relationships/hyperlink" Target="https://en.wikipedia.org/wiki/Ted_2" TargetMode="External"/><Relationship Id="rId207" Type="http://schemas.openxmlformats.org/officeDocument/2006/relationships/hyperlink" Target="https://en.wikipedia.org/wiki/Mission:_Impossible_%25E2%2580%2593_Rogue_Nation" TargetMode="External"/><Relationship Id="rId328" Type="http://schemas.openxmlformats.org/officeDocument/2006/relationships/hyperlink" Target="https://en.wikipedia.org/wiki/Ted_(film)" TargetMode="External"/><Relationship Id="rId449" Type="http://schemas.openxmlformats.org/officeDocument/2006/relationships/hyperlink" Target="https://en.wikipedia.org/wiki/The_Twilight_Saga:_Breaking_Dawn_%25E2%2580%2593_Part_2" TargetMode="External"/><Relationship Id="rId440" Type="http://schemas.openxmlformats.org/officeDocument/2006/relationships/hyperlink" Target="https://en.wikipedia.org/wiki/The_Signal_(2014_film)" TargetMode="External"/><Relationship Id="rId202" Type="http://schemas.openxmlformats.org/officeDocument/2006/relationships/hyperlink" Target="https://en.wikipedia.org/wiki/Mechanic:_Resurrection" TargetMode="External"/><Relationship Id="rId323" Type="http://schemas.openxmlformats.org/officeDocument/2006/relationships/hyperlink" Target="https://en.wikipedia.org/wiki/Straight_Outta_Compton_(2015_film)" TargetMode="External"/><Relationship Id="rId444" Type="http://schemas.openxmlformats.org/officeDocument/2006/relationships/hyperlink" Target="https://en.wikipedia.org/wiki/The_SpongeBob_Movie:_Sponge_Out_of_Water" TargetMode="External"/><Relationship Id="rId201" Type="http://schemas.openxmlformats.org/officeDocument/2006/relationships/hyperlink" Target="https://en.wikipedia.org/wiki/Me_Before_You_(film)" TargetMode="External"/><Relationship Id="rId322" Type="http://schemas.openxmlformats.org/officeDocument/2006/relationships/hyperlink" Target="https://en.wikipedia.org/wiki/Steve_Jobs_(2015_film)" TargetMode="External"/><Relationship Id="rId443" Type="http://schemas.openxmlformats.org/officeDocument/2006/relationships/hyperlink" Target="https://en.wikipedia.org/wiki/The_Spectacular_Now" TargetMode="External"/><Relationship Id="rId200" Type="http://schemas.openxmlformats.org/officeDocument/2006/relationships/hyperlink" Target="https://en.wikipedia.org/wiki/Me_and_Earl_and_the_Dying_Girl_(film)" TargetMode="External"/><Relationship Id="rId321" Type="http://schemas.openxmlformats.org/officeDocument/2006/relationships/hyperlink" Target="https://en.wikipedia.org/wiki/Step_Up:_All_In" TargetMode="External"/><Relationship Id="rId442" Type="http://schemas.openxmlformats.org/officeDocument/2006/relationships/hyperlink" Target="https://en.wikipedia.org/wiki/The_Smurfs_2" TargetMode="External"/><Relationship Id="rId320" Type="http://schemas.openxmlformats.org/officeDocument/2006/relationships/hyperlink" Target="https://en.wikipedia.org/wiki/Star_Trek_Beyond" TargetMode="External"/><Relationship Id="rId441" Type="http://schemas.openxmlformats.org/officeDocument/2006/relationships/hyperlink" Target="https://en.wikipedia.org/wiki/The_Single_Moms_Club" TargetMode="External"/><Relationship Id="rId316" Type="http://schemas.openxmlformats.org/officeDocument/2006/relationships/hyperlink" Target="https://en.wikipedia.org/wiki/Spotlight_(film)" TargetMode="External"/><Relationship Id="rId437" Type="http://schemas.openxmlformats.org/officeDocument/2006/relationships/hyperlink" Target="https://en.wikipedia.org/wiki/The_Secret_Life_of_Pets" TargetMode="External"/><Relationship Id="rId315" Type="http://schemas.openxmlformats.org/officeDocument/2006/relationships/hyperlink" Target="https://en.wikipedia.org/wiki/Southpaw_(film)" TargetMode="External"/><Relationship Id="rId436" Type="http://schemas.openxmlformats.org/officeDocument/2006/relationships/hyperlink" Target="https://en.wikipedia.org/wiki/The_Second_Mother_(2015_film)" TargetMode="External"/><Relationship Id="rId314" Type="http://schemas.openxmlformats.org/officeDocument/2006/relationships/hyperlink" Target="https://en.wikipedia.org/wiki/Son_of_Saul" TargetMode="External"/><Relationship Id="rId435" Type="http://schemas.openxmlformats.org/officeDocument/2006/relationships/hyperlink" Target="https://en.wikipedia.org/wiki/The_Second_Best_Exotic_Marigold_Hotel" TargetMode="External"/><Relationship Id="rId313" Type="http://schemas.openxmlformats.org/officeDocument/2006/relationships/hyperlink" Target="https://en.wikipedia.org/wiki/Son_of_God_(film)" TargetMode="External"/><Relationship Id="rId434" Type="http://schemas.openxmlformats.org/officeDocument/2006/relationships/hyperlink" Target="https://en.wikipedia.org/wiki/The_Revenant_(2015_film)" TargetMode="External"/><Relationship Id="rId319" Type="http://schemas.openxmlformats.org/officeDocument/2006/relationships/hyperlink" Target="https://en.wikipedia.org/wiki/Stand_by_Me_Doraemon" TargetMode="External"/><Relationship Id="rId318" Type="http://schemas.openxmlformats.org/officeDocument/2006/relationships/hyperlink" Target="https://en.wikipedia.org/wiki/St._Vincent_(film)" TargetMode="External"/><Relationship Id="rId439" Type="http://schemas.openxmlformats.org/officeDocument/2006/relationships/hyperlink" Target="https://en.wikipedia.org/wiki/The_Shallows_(film)" TargetMode="External"/><Relationship Id="rId317" Type="http://schemas.openxmlformats.org/officeDocument/2006/relationships/hyperlink" Target="https://en.wikipedia.org/wiki/Spy_(2015_film)" TargetMode="External"/><Relationship Id="rId438" Type="http://schemas.openxmlformats.org/officeDocument/2006/relationships/hyperlink" Target="https://en.wikipedia.org/wiki/Arrietty" TargetMode="External"/><Relationship Id="rId312" Type="http://schemas.openxmlformats.org/officeDocument/2006/relationships/hyperlink" Target="https://en.wikipedia.org/wiki/Snow_White_and_the_Huntsman" TargetMode="External"/><Relationship Id="rId433" Type="http://schemas.openxmlformats.org/officeDocument/2006/relationships/hyperlink" Target="https://en.wikipedia.org/wiki/The_Raven_(2012_film)" TargetMode="External"/><Relationship Id="rId311" Type="http://schemas.openxmlformats.org/officeDocument/2006/relationships/hyperlink" Target="https://en.wikipedia.org/wiki/Snitch_(film)" TargetMode="External"/><Relationship Id="rId432" Type="http://schemas.openxmlformats.org/officeDocument/2006/relationships/hyperlink" Target="https://en.wikipedia.org/wiki/The_Raid:_Redemption" TargetMode="External"/><Relationship Id="rId310" Type="http://schemas.openxmlformats.org/officeDocument/2006/relationships/hyperlink" Target="https://en.wikipedia.org/wiki/Sisters_(2015_film)" TargetMode="External"/><Relationship Id="rId431" Type="http://schemas.openxmlformats.org/officeDocument/2006/relationships/hyperlink" Target="https://en.wikipedia.org/wiki/The_Raid_2" TargetMode="External"/><Relationship Id="rId430" Type="http://schemas.openxmlformats.org/officeDocument/2006/relationships/hyperlink" Target="https://en.wikipedia.org/wiki/The_Purge:_Election_Year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5.63"/>
    <col customWidth="1" min="2" max="2" width="22.5"/>
    <col customWidth="1" min="3" max="3" width="27.63"/>
    <col customWidth="1" min="4" max="4" width="30.5"/>
  </cols>
  <sheetData>
    <row r="1"/>
    <row r="2"/>
    <row r="3"/>
    <row r="4"/>
    <row r="5"/>
    <row r="6"/>
    <row r="7">
      <c r="B7" s="1"/>
      <c r="C7" s="1"/>
      <c r="D7" s="1"/>
    </row>
    <row r="8">
      <c r="B8" s="1"/>
      <c r="C8" s="1"/>
      <c r="D8" s="1"/>
    </row>
    <row r="9">
      <c r="B9" s="1"/>
      <c r="C9" s="1"/>
      <c r="D9" s="1"/>
    </row>
    <row r="10">
      <c r="B10" s="1"/>
      <c r="C10" s="1"/>
      <c r="D10" s="1"/>
    </row>
    <row r="11">
      <c r="B11" s="1"/>
      <c r="C11" s="1"/>
      <c r="D11" s="1"/>
    </row>
    <row r="12">
      <c r="B12" s="1"/>
      <c r="C12" s="1"/>
      <c r="D12" s="1"/>
    </row>
    <row r="13">
      <c r="B13" s="1"/>
      <c r="C13" s="1"/>
      <c r="D13" s="1"/>
    </row>
    <row r="14">
      <c r="B14" s="1"/>
      <c r="C14" s="1"/>
      <c r="D14" s="1"/>
    </row>
    <row r="15">
      <c r="B15" s="1"/>
      <c r="C15" s="1"/>
      <c r="D15" s="1"/>
    </row>
    <row r="16">
      <c r="B16" s="1"/>
      <c r="C16" s="1"/>
      <c r="D16" s="1"/>
    </row>
    <row r="17">
      <c r="B17" s="1"/>
      <c r="C17" s="1"/>
      <c r="D17" s="1"/>
    </row>
    <row r="18">
      <c r="B18" s="1"/>
      <c r="C18" s="1"/>
      <c r="D18" s="1"/>
    </row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>
      <c r="B38" s="1"/>
      <c r="C38" s="1"/>
      <c r="D38" s="1"/>
    </row>
    <row r="39">
      <c r="B39" s="1"/>
      <c r="C39" s="1"/>
      <c r="D39" s="1"/>
    </row>
    <row r="40">
      <c r="B40" s="1"/>
      <c r="C40" s="1"/>
      <c r="D40" s="1"/>
    </row>
    <row r="41">
      <c r="B41" s="1"/>
      <c r="C41" s="1"/>
      <c r="D41" s="1"/>
    </row>
    <row r="42">
      <c r="E42" s="1"/>
    </row>
    <row r="43">
      <c r="E43" s="1"/>
    </row>
    <row r="44">
      <c r="E44" s="1"/>
    </row>
    <row r="45">
      <c r="E45" s="1"/>
    </row>
    <row r="46">
      <c r="E46" s="1"/>
    </row>
    <row r="47">
      <c r="E47" s="1"/>
    </row>
    <row r="48">
      <c r="E48" s="1"/>
    </row>
    <row r="49">
      <c r="E49" s="1"/>
    </row>
    <row r="50">
      <c r="E50" s="1"/>
    </row>
    <row r="51">
      <c r="E51" s="1"/>
    </row>
    <row r="52">
      <c r="E52" s="1"/>
    </row>
    <row r="53">
      <c r="C53" s="1"/>
      <c r="D53" s="4"/>
      <c r="E53" s="1"/>
    </row>
    <row r="54">
      <c r="C54" s="1"/>
      <c r="D54" s="4"/>
      <c r="E54" s="1"/>
    </row>
    <row r="55">
      <c r="C55" s="1"/>
      <c r="D55" s="4"/>
      <c r="E55" s="1"/>
    </row>
    <row r="56">
      <c r="C56" s="1"/>
      <c r="D56" s="4"/>
      <c r="E56" s="1"/>
    </row>
    <row r="57">
      <c r="C57" s="1"/>
      <c r="D57" s="1"/>
    </row>
    <row r="58">
      <c r="C58" s="1"/>
      <c r="D58" s="1"/>
    </row>
    <row r="59">
      <c r="C59" s="1"/>
      <c r="D59" s="1"/>
    </row>
    <row r="60">
      <c r="C60" s="1"/>
      <c r="D60" s="1"/>
    </row>
    <row r="61">
      <c r="B61" s="3"/>
      <c r="C61" s="1"/>
      <c r="D61" s="1"/>
    </row>
    <row r="62">
      <c r="B62" s="1"/>
      <c r="C62" s="1"/>
      <c r="D62" s="1"/>
    </row>
    <row r="63">
      <c r="B63" s="1"/>
      <c r="C63" s="1"/>
      <c r="D63" s="1"/>
    </row>
    <row r="64">
      <c r="B64" s="1"/>
      <c r="C64" s="1"/>
      <c r="D64" s="1"/>
    </row>
    <row r="65">
      <c r="B65" s="1"/>
      <c r="C65" s="1"/>
      <c r="D65" s="1"/>
    </row>
    <row r="66">
      <c r="B66" s="1"/>
      <c r="C66" s="1"/>
      <c r="D66" s="1"/>
    </row>
    <row r="67">
      <c r="B67" s="1"/>
      <c r="C67" s="1"/>
      <c r="D67" s="1"/>
    </row>
    <row r="68">
      <c r="B68" s="1"/>
      <c r="C68" s="1"/>
      <c r="D68" s="1"/>
    </row>
    <row r="69">
      <c r="B69" s="1"/>
      <c r="C69" s="1"/>
      <c r="D69" s="1"/>
    </row>
    <row r="70">
      <c r="B70" s="1"/>
      <c r="C70" s="1"/>
      <c r="D70" s="1"/>
    </row>
    <row r="71">
      <c r="B71" s="1"/>
      <c r="C71" s="1"/>
      <c r="D71" s="1"/>
    </row>
    <row r="72">
      <c r="B72" s="1"/>
      <c r="C72" s="1"/>
      <c r="D72" s="1"/>
    </row>
    <row r="73">
      <c r="B73" s="1"/>
      <c r="C73" s="1"/>
      <c r="D73" s="1"/>
    </row>
    <row r="74">
      <c r="B74" s="1"/>
      <c r="C74" s="1"/>
      <c r="D74" s="1"/>
    </row>
    <row r="75">
      <c r="B75" s="1"/>
      <c r="C75" s="1"/>
      <c r="D75" s="1"/>
    </row>
    <row r="76">
      <c r="B76" s="1"/>
      <c r="C76" s="1"/>
      <c r="D76" s="1"/>
    </row>
    <row r="77">
      <c r="B77" s="1"/>
      <c r="C77" s="1"/>
      <c r="D77" s="1"/>
    </row>
    <row r="78">
      <c r="B78" s="1"/>
      <c r="C78" s="1"/>
      <c r="D78" s="1"/>
    </row>
    <row r="79">
      <c r="B79" s="1"/>
      <c r="C79" s="1"/>
      <c r="D79" s="1"/>
    </row>
    <row r="80">
      <c r="B80" s="1"/>
      <c r="C80" s="1"/>
      <c r="D80" s="1"/>
    </row>
    <row r="81">
      <c r="B81" s="1"/>
      <c r="C81" s="1"/>
      <c r="D81" s="1"/>
    </row>
    <row r="82">
      <c r="B82" s="1"/>
      <c r="C82" s="1"/>
      <c r="D82" s="1"/>
    </row>
    <row r="83">
      <c r="B83" s="1"/>
      <c r="C83" s="1"/>
      <c r="D83" s="1"/>
    </row>
    <row r="84">
      <c r="B84" s="1"/>
      <c r="C84" s="1"/>
      <c r="D84" s="1"/>
    </row>
    <row r="85">
      <c r="B85" s="1"/>
      <c r="C85" s="1"/>
      <c r="D85" s="1"/>
    </row>
    <row r="86">
      <c r="B86" s="1"/>
      <c r="C86" s="1"/>
      <c r="D86" s="1"/>
    </row>
    <row r="87">
      <c r="B87" s="1"/>
      <c r="C87" s="1"/>
      <c r="D87" s="1"/>
    </row>
    <row r="88">
      <c r="B88" s="1"/>
      <c r="C88" s="1"/>
      <c r="D88" s="1"/>
    </row>
    <row r="89">
      <c r="B89" s="1"/>
      <c r="C89" s="1"/>
      <c r="D89" s="1"/>
    </row>
    <row r="90">
      <c r="B90" s="1"/>
      <c r="C90" s="1"/>
      <c r="D90" s="1"/>
    </row>
    <row r="91">
      <c r="B91" s="1"/>
      <c r="C91" s="1"/>
      <c r="D91" s="1"/>
    </row>
    <row r="92">
      <c r="B92" s="1"/>
      <c r="C92" s="1"/>
      <c r="D92" s="1"/>
    </row>
    <row r="93">
      <c r="B93" s="1"/>
      <c r="C93" s="1"/>
      <c r="D93" s="1"/>
    </row>
    <row r="94">
      <c r="B94" s="1"/>
      <c r="C94" s="1"/>
      <c r="D94" s="1"/>
    </row>
    <row r="95">
      <c r="B95" s="1"/>
      <c r="C95" s="1"/>
      <c r="D95" s="1"/>
    </row>
    <row r="96">
      <c r="B96" s="1"/>
      <c r="C96" s="1"/>
      <c r="D96" s="1"/>
    </row>
    <row r="97">
      <c r="B97" s="1"/>
      <c r="C97" s="1"/>
      <c r="D97" s="1"/>
    </row>
    <row r="98">
      <c r="B98" s="1"/>
      <c r="C98" s="1"/>
      <c r="D98" s="1"/>
    </row>
    <row r="99">
      <c r="B99" s="1"/>
      <c r="C99" s="1"/>
      <c r="D99" s="1"/>
    </row>
    <row r="100">
      <c r="B100" s="1"/>
      <c r="C100" s="1"/>
      <c r="D100" s="1"/>
    </row>
    <row r="101">
      <c r="B101" s="1"/>
      <c r="C101" s="1"/>
      <c r="D101" s="1"/>
    </row>
    <row r="102">
      <c r="B102" s="1"/>
      <c r="C102" s="1"/>
      <c r="D102" s="1"/>
    </row>
    <row r="103">
      <c r="B103" s="1"/>
      <c r="C103" s="1"/>
      <c r="D103" s="1"/>
    </row>
    <row r="104">
      <c r="B104" s="1"/>
      <c r="C104" s="1"/>
      <c r="D104" s="1"/>
    </row>
    <row r="105">
      <c r="B105" s="1"/>
      <c r="C105" s="1"/>
      <c r="D105" s="1"/>
    </row>
    <row r="106">
      <c r="B106" s="1"/>
      <c r="C106" s="1"/>
      <c r="D106" s="1"/>
    </row>
    <row r="107">
      <c r="B107" s="1"/>
      <c r="C107" s="1"/>
      <c r="D107" s="1"/>
    </row>
    <row r="108">
      <c r="B108" s="1"/>
      <c r="C108" s="1"/>
      <c r="D108" s="1"/>
    </row>
    <row r="109">
      <c r="B109" s="1"/>
      <c r="C109" s="1"/>
      <c r="D109" s="1"/>
    </row>
    <row r="110">
      <c r="B110" s="1"/>
      <c r="C110" s="1"/>
      <c r="D110" s="1"/>
    </row>
    <row r="111">
      <c r="B111" s="1"/>
      <c r="C111" s="1"/>
      <c r="D111" s="1"/>
    </row>
    <row r="112">
      <c r="B112" s="1"/>
      <c r="C112" s="1"/>
      <c r="D112" s="1"/>
    </row>
    <row r="113">
      <c r="B113" s="1"/>
      <c r="C113" s="1"/>
      <c r="D113" s="1"/>
    </row>
    <row r="114">
      <c r="B114" s="1"/>
      <c r="C114" s="1"/>
      <c r="D114" s="1"/>
    </row>
    <row r="115">
      <c r="B115" s="1"/>
      <c r="C115" s="1"/>
      <c r="D115" s="1"/>
    </row>
    <row r="116">
      <c r="B116" s="1"/>
      <c r="C116" s="1"/>
      <c r="D116" s="1"/>
    </row>
    <row r="117">
      <c r="B117" s="1"/>
      <c r="C117" s="1"/>
      <c r="D117" s="1"/>
    </row>
    <row r="118">
      <c r="B118" s="1"/>
      <c r="C118" s="1"/>
      <c r="D118" s="1"/>
    </row>
    <row r="119">
      <c r="B119" s="1"/>
      <c r="C119" s="1"/>
      <c r="D119" s="1"/>
    </row>
    <row r="120">
      <c r="B120" s="1"/>
      <c r="C120" s="1"/>
      <c r="D120" s="1"/>
    </row>
    <row r="121">
      <c r="B121" s="1"/>
      <c r="C121" s="1"/>
      <c r="D121" s="1"/>
    </row>
    <row r="122">
      <c r="B122" s="1"/>
      <c r="C122" s="1"/>
      <c r="D122" s="1"/>
    </row>
    <row r="123">
      <c r="B123" s="1"/>
      <c r="C123" s="1"/>
      <c r="D123" s="1"/>
    </row>
    <row r="124">
      <c r="B124" s="1"/>
      <c r="C124" s="1"/>
      <c r="D124" s="1"/>
    </row>
    <row r="125">
      <c r="B125" s="1"/>
      <c r="C125" s="1"/>
      <c r="D125" s="1"/>
    </row>
    <row r="126">
      <c r="B126" s="1"/>
      <c r="C126" s="1"/>
      <c r="D126" s="1"/>
    </row>
    <row r="127">
      <c r="B127" s="1"/>
      <c r="C127" s="1"/>
      <c r="D127" s="1"/>
    </row>
    <row r="128">
      <c r="B128" s="1"/>
      <c r="C128" s="1"/>
      <c r="D128" s="1"/>
    </row>
    <row r="129">
      <c r="B129" s="1"/>
      <c r="C129" s="1"/>
      <c r="D129" s="1"/>
    </row>
    <row r="130">
      <c r="B130" s="1"/>
      <c r="C130" s="1"/>
      <c r="D130" s="1"/>
    </row>
    <row r="131">
      <c r="B131" s="1"/>
      <c r="C131" s="1"/>
      <c r="D131" s="1"/>
    </row>
    <row r="132">
      <c r="B132" s="1"/>
      <c r="C132" s="1"/>
      <c r="D132" s="1"/>
    </row>
    <row r="133">
      <c r="B133" s="1"/>
      <c r="C133" s="1"/>
      <c r="D133" s="1"/>
    </row>
    <row r="134">
      <c r="B134" s="1"/>
      <c r="C134" s="1"/>
      <c r="D134" s="1"/>
    </row>
    <row r="135">
      <c r="B135" s="1"/>
      <c r="C135" s="1"/>
      <c r="D135" s="1"/>
    </row>
    <row r="136">
      <c r="B136" s="1"/>
      <c r="C136" s="1"/>
      <c r="D136" s="1"/>
    </row>
    <row r="137">
      <c r="B137" s="1"/>
      <c r="C137" s="1"/>
      <c r="D137" s="1"/>
    </row>
    <row r="138">
      <c r="B138" s="1"/>
      <c r="C138" s="1"/>
      <c r="D138" s="1"/>
    </row>
    <row r="139">
      <c r="B139" s="1"/>
      <c r="C139" s="1"/>
      <c r="D139" s="1"/>
    </row>
    <row r="140">
      <c r="B140" s="1"/>
      <c r="C140" s="1"/>
      <c r="D140" s="1"/>
    </row>
    <row r="141">
      <c r="B141" s="1"/>
      <c r="C141" s="1"/>
      <c r="D141" s="1"/>
    </row>
    <row r="142">
      <c r="B142" s="1"/>
      <c r="C142" s="1"/>
      <c r="D142" s="1"/>
    </row>
    <row r="143">
      <c r="B143" s="1"/>
      <c r="C143" s="1"/>
      <c r="D143" s="1"/>
    </row>
    <row r="144">
      <c r="B144" s="1"/>
      <c r="C144" s="1"/>
      <c r="D144" s="1"/>
    </row>
    <row r="145">
      <c r="B145" s="1"/>
      <c r="C145" s="1"/>
      <c r="D145" s="1"/>
    </row>
    <row r="146">
      <c r="B146" s="1"/>
      <c r="C146" s="1"/>
      <c r="D146" s="1"/>
    </row>
    <row r="147">
      <c r="B147" s="1"/>
      <c r="C147" s="1"/>
      <c r="D147" s="1"/>
    </row>
    <row r="148">
      <c r="B148" s="1"/>
      <c r="C148" s="1"/>
      <c r="D148" s="1"/>
    </row>
    <row r="149">
      <c r="B149" s="1"/>
      <c r="C149" s="1"/>
      <c r="D149" s="1"/>
    </row>
    <row r="150">
      <c r="B150" s="1"/>
      <c r="C150" s="1"/>
      <c r="D150" s="1"/>
    </row>
    <row r="151">
      <c r="B151" s="1"/>
      <c r="C151" s="1"/>
      <c r="D151" s="1"/>
    </row>
    <row r="152">
      <c r="B152" s="1"/>
      <c r="C152" s="1"/>
      <c r="D152" s="1"/>
    </row>
    <row r="153">
      <c r="B153" s="1"/>
      <c r="C153" s="1"/>
      <c r="D153" s="1"/>
    </row>
    <row r="154">
      <c r="B154" s="1"/>
      <c r="C154" s="1"/>
      <c r="D154" s="1"/>
    </row>
    <row r="155">
      <c r="B155" s="1"/>
      <c r="C155" s="1"/>
      <c r="D155" s="1"/>
    </row>
    <row r="156">
      <c r="B156" s="1"/>
      <c r="C156" s="1"/>
      <c r="D156" s="1"/>
    </row>
    <row r="157">
      <c r="B157" s="1"/>
      <c r="C157" s="1"/>
      <c r="D157" s="1"/>
    </row>
    <row r="158">
      <c r="B158" s="1"/>
      <c r="C158" s="1"/>
      <c r="D158" s="1"/>
    </row>
    <row r="159">
      <c r="B159" s="1"/>
      <c r="C159" s="1"/>
      <c r="D159" s="1"/>
    </row>
    <row r="160">
      <c r="B160" s="1"/>
      <c r="C160" s="1"/>
      <c r="D160" s="1"/>
    </row>
    <row r="161">
      <c r="B161" s="1"/>
      <c r="C161" s="1"/>
      <c r="D161" s="1"/>
    </row>
    <row r="162">
      <c r="B162" s="1"/>
      <c r="C162" s="1"/>
      <c r="D162" s="1"/>
    </row>
    <row r="163">
      <c r="B163" s="1"/>
      <c r="C163" s="1"/>
      <c r="D163" s="1"/>
    </row>
    <row r="164">
      <c r="B164" s="1"/>
      <c r="C164" s="1"/>
      <c r="D164" s="1"/>
    </row>
    <row r="165">
      <c r="B165" s="1"/>
      <c r="C165" s="1"/>
      <c r="D165" s="1"/>
    </row>
    <row r="166">
      <c r="B166" s="1"/>
      <c r="C166" s="1"/>
      <c r="D166" s="1"/>
    </row>
    <row r="167">
      <c r="B167" s="1"/>
      <c r="C167" s="1"/>
      <c r="D167" s="1"/>
    </row>
    <row r="168">
      <c r="B168" s="1"/>
      <c r="C168" s="1"/>
      <c r="D168" s="1"/>
    </row>
    <row r="169">
      <c r="B169" s="1"/>
      <c r="C169" s="1"/>
      <c r="D169" s="1"/>
    </row>
    <row r="170">
      <c r="B170" s="1"/>
      <c r="C170" s="1"/>
      <c r="D170" s="1"/>
    </row>
    <row r="171">
      <c r="B171" s="1"/>
      <c r="C171" s="1"/>
      <c r="D171" s="1"/>
    </row>
    <row r="172">
      <c r="B172" s="1"/>
      <c r="C172" s="1"/>
      <c r="D172" s="1"/>
    </row>
    <row r="173">
      <c r="B173" s="1"/>
      <c r="C173" s="1"/>
      <c r="D173" s="1"/>
    </row>
    <row r="174">
      <c r="B174" s="1"/>
      <c r="C174" s="1"/>
      <c r="D174" s="1"/>
    </row>
    <row r="175">
      <c r="B175" s="1"/>
      <c r="C175" s="1"/>
      <c r="D175" s="1"/>
    </row>
    <row r="176">
      <c r="B176" s="1"/>
      <c r="C176" s="1"/>
      <c r="D176" s="1"/>
    </row>
    <row r="177">
      <c r="B177" s="1"/>
      <c r="C177" s="1"/>
      <c r="D177" s="1"/>
    </row>
    <row r="178">
      <c r="B178" s="1"/>
      <c r="C178" s="1"/>
      <c r="D178" s="1"/>
    </row>
    <row r="179">
      <c r="B179" s="1"/>
      <c r="C179" s="1"/>
      <c r="D179" s="1"/>
    </row>
    <row r="180">
      <c r="B180" s="1"/>
      <c r="C180" s="1"/>
      <c r="D180" s="1"/>
    </row>
    <row r="181">
      <c r="B181" s="1"/>
      <c r="C181" s="1"/>
      <c r="D181" s="1"/>
    </row>
    <row r="182">
      <c r="B182" s="1"/>
      <c r="C182" s="1"/>
      <c r="D182" s="1"/>
    </row>
    <row r="183">
      <c r="B183" s="1"/>
      <c r="C183" s="1"/>
      <c r="D183" s="1"/>
    </row>
    <row r="184">
      <c r="B184" s="1"/>
      <c r="C184" s="1"/>
      <c r="D184" s="1"/>
    </row>
    <row r="185">
      <c r="B185" s="1"/>
      <c r="C185" s="1"/>
      <c r="D185" s="1"/>
    </row>
    <row r="186">
      <c r="B186" s="1"/>
      <c r="C186" s="1"/>
      <c r="D186" s="1"/>
    </row>
    <row r="187">
      <c r="B187" s="1"/>
      <c r="C187" s="1"/>
      <c r="D187" s="1"/>
    </row>
    <row r="188">
      <c r="B188" s="1"/>
      <c r="C188" s="1"/>
      <c r="D188" s="1"/>
    </row>
    <row r="189">
      <c r="B189" s="1"/>
      <c r="C189" s="1"/>
      <c r="D189" s="1"/>
    </row>
    <row r="190">
      <c r="B190" s="1"/>
      <c r="C190" s="1"/>
      <c r="D190" s="1"/>
    </row>
    <row r="191">
      <c r="B191" s="1"/>
      <c r="C191" s="1"/>
      <c r="D191" s="1"/>
    </row>
    <row r="192">
      <c r="B192" s="1"/>
      <c r="C192" s="1"/>
      <c r="D192" s="1"/>
    </row>
    <row r="193">
      <c r="B193" s="1"/>
      <c r="C193" s="1"/>
      <c r="D193" s="1"/>
    </row>
    <row r="194">
      <c r="B194" s="1"/>
      <c r="C194" s="1"/>
      <c r="D194" s="1"/>
    </row>
    <row r="195">
      <c r="B195" s="1"/>
      <c r="C195" s="1"/>
      <c r="D195" s="1"/>
    </row>
    <row r="196">
      <c r="B196" s="1"/>
      <c r="C196" s="1"/>
      <c r="D196" s="1"/>
    </row>
    <row r="197">
      <c r="B197" s="1"/>
      <c r="C197" s="1"/>
      <c r="D197" s="1"/>
    </row>
    <row r="198">
      <c r="B198" s="1"/>
      <c r="C198" s="1"/>
      <c r="D198" s="1"/>
    </row>
    <row r="199">
      <c r="B199" s="1"/>
      <c r="C199" s="1"/>
      <c r="D199" s="1"/>
    </row>
    <row r="200">
      <c r="B200" s="1"/>
      <c r="C200" s="1"/>
      <c r="D200" s="1"/>
    </row>
    <row r="201">
      <c r="B201" s="1"/>
      <c r="C201" s="1"/>
      <c r="D201" s="1"/>
    </row>
    <row r="202">
      <c r="B202" s="1"/>
      <c r="C202" s="1"/>
      <c r="D202" s="1"/>
    </row>
    <row r="203">
      <c r="B203" s="1"/>
      <c r="C203" s="1"/>
      <c r="D203" s="1"/>
    </row>
    <row r="204">
      <c r="B204" s="1"/>
      <c r="C204" s="1"/>
      <c r="D204" s="1"/>
    </row>
    <row r="205">
      <c r="B205" s="1"/>
      <c r="C205" s="1"/>
      <c r="D205" s="1"/>
    </row>
    <row r="206">
      <c r="B206" s="1"/>
      <c r="C206" s="1"/>
      <c r="D206" s="1"/>
    </row>
    <row r="207">
      <c r="B207" s="1"/>
      <c r="C207" s="1"/>
      <c r="D207" s="1"/>
    </row>
    <row r="208">
      <c r="B208" s="1"/>
      <c r="C208" s="1"/>
      <c r="D208" s="1"/>
    </row>
    <row r="209">
      <c r="B209" s="1"/>
      <c r="C209" s="1"/>
      <c r="D209" s="1"/>
    </row>
    <row r="210">
      <c r="B210" s="1"/>
      <c r="C210" s="1"/>
      <c r="D210" s="1"/>
    </row>
    <row r="211">
      <c r="B211" s="1"/>
      <c r="C211" s="1"/>
      <c r="D211" s="1"/>
    </row>
    <row r="212">
      <c r="B212" s="1"/>
      <c r="C212" s="1"/>
      <c r="D212" s="1"/>
    </row>
    <row r="213">
      <c r="B213" s="1"/>
      <c r="C213" s="1"/>
      <c r="D213" s="1"/>
    </row>
    <row r="214">
      <c r="B214" s="1"/>
      <c r="C214" s="1"/>
      <c r="D214" s="1"/>
    </row>
    <row r="215">
      <c r="B215" s="1"/>
      <c r="C215" s="1"/>
      <c r="D215" s="1"/>
    </row>
    <row r="216">
      <c r="B216" s="1"/>
      <c r="C216" s="1"/>
      <c r="D216" s="1"/>
    </row>
    <row r="217">
      <c r="B217" s="1"/>
      <c r="C217" s="1"/>
      <c r="D217" s="1"/>
    </row>
    <row r="218">
      <c r="B218" s="1"/>
      <c r="C218" s="1"/>
      <c r="D218" s="1"/>
    </row>
    <row r="219">
      <c r="B219" s="1"/>
      <c r="C219" s="1"/>
      <c r="D219" s="1"/>
    </row>
    <row r="220">
      <c r="B220" s="1"/>
      <c r="C220" s="1"/>
      <c r="D220" s="1"/>
    </row>
    <row r="221">
      <c r="B221" s="1"/>
      <c r="C221" s="1"/>
      <c r="D221" s="1"/>
    </row>
    <row r="222">
      <c r="B222" s="1"/>
      <c r="C222" s="1"/>
      <c r="D222" s="1"/>
    </row>
    <row r="223">
      <c r="B223" s="1"/>
      <c r="C223" s="1"/>
      <c r="D223" s="1"/>
    </row>
    <row r="224">
      <c r="B224" s="1"/>
      <c r="C224" s="1"/>
      <c r="D224" s="1"/>
    </row>
    <row r="225">
      <c r="B225" s="1"/>
      <c r="C225" s="1"/>
      <c r="D225" s="1"/>
    </row>
    <row r="226">
      <c r="B226" s="1"/>
      <c r="C226" s="1"/>
      <c r="D226" s="1"/>
    </row>
    <row r="227">
      <c r="B227" s="1"/>
      <c r="C227" s="1"/>
      <c r="D227" s="1"/>
    </row>
    <row r="228">
      <c r="B228" s="1"/>
      <c r="C228" s="1"/>
      <c r="D228" s="1"/>
    </row>
    <row r="229">
      <c r="B229" s="1"/>
      <c r="C229" s="1"/>
      <c r="D229" s="1"/>
    </row>
    <row r="230">
      <c r="B230" s="1"/>
      <c r="C230" s="1"/>
      <c r="D230" s="1"/>
    </row>
    <row r="231">
      <c r="B231" s="1"/>
      <c r="C231" s="1"/>
      <c r="D231" s="1"/>
    </row>
    <row r="232">
      <c r="B232" s="1"/>
      <c r="C232" s="1"/>
      <c r="D232" s="1"/>
    </row>
    <row r="233">
      <c r="B233" s="1"/>
      <c r="C233" s="1"/>
      <c r="D233" s="1"/>
    </row>
    <row r="234">
      <c r="B234" s="1"/>
      <c r="C234" s="1"/>
      <c r="D234" s="1"/>
    </row>
    <row r="235">
      <c r="B235" s="1"/>
      <c r="C235" s="1"/>
      <c r="D235" s="1"/>
    </row>
    <row r="236">
      <c r="B236" s="1"/>
      <c r="C236" s="1"/>
      <c r="D236" s="1"/>
    </row>
    <row r="237">
      <c r="B237" s="1"/>
      <c r="C237" s="1"/>
      <c r="D237" s="1"/>
    </row>
    <row r="238">
      <c r="B238" s="1"/>
      <c r="C238" s="1"/>
      <c r="D238" s="1"/>
    </row>
    <row r="239">
      <c r="B239" s="1"/>
      <c r="C239" s="1"/>
      <c r="D239" s="1"/>
    </row>
    <row r="240">
      <c r="B240" s="1"/>
      <c r="C240" s="1"/>
      <c r="D240" s="1"/>
    </row>
    <row r="241">
      <c r="B241" s="1"/>
      <c r="C241" s="1"/>
      <c r="D241" s="1"/>
    </row>
    <row r="242">
      <c r="B242" s="1"/>
      <c r="C242" s="1"/>
      <c r="D242" s="1"/>
    </row>
    <row r="243">
      <c r="B243" s="1"/>
      <c r="C243" s="1"/>
      <c r="D243" s="1"/>
    </row>
    <row r="244">
      <c r="B244" s="1"/>
      <c r="C244" s="1"/>
      <c r="D244" s="1"/>
    </row>
    <row r="245">
      <c r="B245" s="1"/>
      <c r="C245" s="1"/>
      <c r="D245" s="1"/>
    </row>
    <row r="246">
      <c r="B246" s="1"/>
      <c r="C246" s="1"/>
      <c r="D246" s="1"/>
    </row>
    <row r="247">
      <c r="B247" s="1"/>
      <c r="C247" s="1"/>
      <c r="D247" s="1"/>
    </row>
    <row r="248">
      <c r="B248" s="1"/>
      <c r="C248" s="1"/>
      <c r="D248" s="1"/>
    </row>
    <row r="249">
      <c r="B249" s="1"/>
      <c r="C249" s="1"/>
      <c r="D249" s="1"/>
    </row>
    <row r="250">
      <c r="B250" s="1"/>
      <c r="C250" s="1"/>
      <c r="D250" s="1"/>
    </row>
    <row r="251">
      <c r="B251" s="1"/>
      <c r="C251" s="1"/>
      <c r="D251" s="1"/>
    </row>
    <row r="252">
      <c r="B252" s="1"/>
      <c r="C252" s="1"/>
      <c r="D252" s="1"/>
    </row>
    <row r="253">
      <c r="B253" s="1"/>
      <c r="C253" s="1"/>
      <c r="D253" s="1"/>
    </row>
    <row r="254">
      <c r="B254" s="1"/>
      <c r="C254" s="1"/>
      <c r="D254" s="1"/>
    </row>
    <row r="255">
      <c r="B255" s="1"/>
      <c r="C255" s="1"/>
      <c r="D255" s="1"/>
    </row>
    <row r="256">
      <c r="B256" s="1"/>
      <c r="C256" s="1"/>
      <c r="D256" s="1"/>
    </row>
    <row r="257">
      <c r="B257" s="1"/>
      <c r="C257" s="1"/>
      <c r="D257" s="1"/>
    </row>
    <row r="258">
      <c r="B258" s="1"/>
      <c r="C258" s="1"/>
      <c r="D258" s="1"/>
    </row>
    <row r="259">
      <c r="B259" s="1"/>
      <c r="C259" s="1"/>
      <c r="D259" s="1"/>
    </row>
    <row r="260">
      <c r="B260" s="1"/>
      <c r="C260" s="1"/>
      <c r="D260" s="1"/>
    </row>
    <row r="261">
      <c r="B261" s="1"/>
      <c r="C261" s="1"/>
      <c r="D261" s="1"/>
    </row>
    <row r="262">
      <c r="B262" s="1"/>
      <c r="C262" s="1"/>
      <c r="D262" s="1"/>
    </row>
    <row r="263">
      <c r="B263" s="1"/>
      <c r="C263" s="1"/>
      <c r="D263" s="1"/>
    </row>
    <row r="264">
      <c r="B264" s="1"/>
      <c r="C264" s="1"/>
      <c r="D264" s="1"/>
    </row>
    <row r="265">
      <c r="B265" s="1"/>
      <c r="C265" s="1"/>
      <c r="D265" s="1"/>
    </row>
    <row r="266">
      <c r="B266" s="1"/>
      <c r="C266" s="1"/>
      <c r="D266" s="1"/>
    </row>
    <row r="267">
      <c r="B267" s="1"/>
      <c r="C267" s="1"/>
      <c r="D267" s="1"/>
    </row>
    <row r="268">
      <c r="B268" s="1"/>
      <c r="C268" s="1"/>
      <c r="D268" s="1"/>
    </row>
    <row r="269">
      <c r="B269" s="1"/>
      <c r="C269" s="1"/>
      <c r="D269" s="1"/>
    </row>
    <row r="270">
      <c r="B270" s="1"/>
      <c r="C270" s="1"/>
      <c r="D270" s="1"/>
    </row>
    <row r="271">
      <c r="B271" s="1"/>
      <c r="C271" s="1"/>
      <c r="D271" s="1"/>
    </row>
    <row r="272">
      <c r="B272" s="1"/>
      <c r="C272" s="1"/>
      <c r="D272" s="1"/>
    </row>
    <row r="273">
      <c r="B273" s="1"/>
      <c r="C273" s="1"/>
      <c r="D273" s="1"/>
    </row>
    <row r="274">
      <c r="B274" s="1"/>
      <c r="C274" s="1"/>
      <c r="D274" s="1"/>
    </row>
    <row r="275">
      <c r="B275" s="1"/>
      <c r="C275" s="1"/>
      <c r="D275" s="1"/>
    </row>
    <row r="276">
      <c r="B276" s="1"/>
      <c r="C276" s="1"/>
      <c r="D276" s="1"/>
    </row>
    <row r="277">
      <c r="B277" s="1"/>
      <c r="C277" s="1"/>
      <c r="D277" s="1"/>
    </row>
    <row r="278">
      <c r="B278" s="1"/>
      <c r="C278" s="1"/>
      <c r="D278" s="1"/>
    </row>
    <row r="279">
      <c r="B279" s="1"/>
      <c r="C279" s="1"/>
      <c r="D279" s="1"/>
    </row>
    <row r="280">
      <c r="B280" s="1"/>
      <c r="C280" s="1"/>
      <c r="D280" s="1"/>
    </row>
    <row r="281">
      <c r="B281" s="1"/>
      <c r="C281" s="1"/>
      <c r="D281" s="1"/>
    </row>
    <row r="282">
      <c r="B282" s="1"/>
      <c r="C282" s="1"/>
      <c r="D282" s="1"/>
    </row>
    <row r="283">
      <c r="B283" s="1"/>
      <c r="C283" s="1"/>
      <c r="D283" s="1"/>
    </row>
    <row r="284">
      <c r="B284" s="1"/>
      <c r="C284" s="1"/>
      <c r="D284" s="1"/>
    </row>
    <row r="285">
      <c r="B285" s="1"/>
      <c r="C285" s="1"/>
      <c r="D285" s="1"/>
    </row>
    <row r="286">
      <c r="B286" s="1"/>
      <c r="C286" s="1"/>
      <c r="D286" s="1"/>
    </row>
    <row r="287">
      <c r="B287" s="1"/>
      <c r="C287" s="1"/>
      <c r="D287" s="1"/>
    </row>
    <row r="288">
      <c r="B288" s="1"/>
      <c r="C288" s="1"/>
      <c r="D288" s="1"/>
    </row>
    <row r="289">
      <c r="B289" s="1"/>
      <c r="C289" s="1"/>
      <c r="D289" s="1"/>
    </row>
    <row r="290">
      <c r="B290" s="1"/>
      <c r="C290" s="1"/>
      <c r="D290" s="1"/>
    </row>
    <row r="291">
      <c r="B291" s="1"/>
      <c r="C291" s="1"/>
      <c r="D291" s="1"/>
    </row>
    <row r="292">
      <c r="B292" s="1"/>
      <c r="C292" s="1"/>
      <c r="D292" s="1"/>
    </row>
    <row r="293">
      <c r="B293" s="1"/>
      <c r="C293" s="1"/>
      <c r="D293" s="1"/>
    </row>
    <row r="294">
      <c r="B294" s="1"/>
      <c r="C294" s="1"/>
      <c r="D294" s="1"/>
    </row>
    <row r="295">
      <c r="B295" s="1"/>
      <c r="C295" s="1"/>
      <c r="D295" s="1"/>
    </row>
    <row r="296">
      <c r="B296" s="1"/>
      <c r="C296" s="1"/>
      <c r="D296" s="1"/>
    </row>
    <row r="297">
      <c r="B297" s="1"/>
      <c r="C297" s="1"/>
      <c r="D297" s="1"/>
    </row>
    <row r="298">
      <c r="B298" s="1"/>
      <c r="C298" s="1"/>
      <c r="D298" s="1"/>
    </row>
    <row r="299">
      <c r="B299" s="1"/>
      <c r="C299" s="1"/>
      <c r="D299" s="1"/>
    </row>
    <row r="300">
      <c r="B300" s="1"/>
      <c r="C300" s="1"/>
      <c r="D300" s="1"/>
    </row>
    <row r="301">
      <c r="B301" s="1"/>
      <c r="C301" s="1"/>
      <c r="D301" s="1"/>
    </row>
    <row r="302">
      <c r="B302" s="1"/>
      <c r="C302" s="1"/>
      <c r="D302" s="1"/>
    </row>
    <row r="303">
      <c r="B303" s="1"/>
      <c r="C303" s="1"/>
      <c r="D303" s="1"/>
    </row>
    <row r="304">
      <c r="B304" s="1"/>
      <c r="C304" s="1"/>
      <c r="D304" s="1"/>
    </row>
    <row r="305">
      <c r="B305" s="1"/>
      <c r="C305" s="1"/>
      <c r="D305" s="1"/>
    </row>
    <row r="306">
      <c r="B306" s="1"/>
      <c r="C306" s="1"/>
      <c r="D306" s="1"/>
    </row>
    <row r="307">
      <c r="B307" s="1"/>
      <c r="C307" s="1"/>
      <c r="D307" s="1"/>
    </row>
    <row r="308">
      <c r="B308" s="1"/>
      <c r="C308" s="1"/>
      <c r="D308" s="1"/>
    </row>
    <row r="309">
      <c r="B309" s="1"/>
      <c r="C309" s="1"/>
      <c r="D309" s="1"/>
    </row>
    <row r="310">
      <c r="B310" s="1"/>
      <c r="C310" s="1"/>
      <c r="D310" s="1"/>
    </row>
    <row r="311">
      <c r="B311" s="1"/>
      <c r="C311" s="1"/>
      <c r="D311" s="1"/>
    </row>
    <row r="312">
      <c r="B312" s="1"/>
      <c r="C312" s="1"/>
      <c r="D312" s="1"/>
    </row>
    <row r="313">
      <c r="B313" s="1"/>
      <c r="C313" s="1"/>
      <c r="D313" s="1"/>
    </row>
    <row r="314">
      <c r="B314" s="1"/>
      <c r="C314" s="1"/>
      <c r="D314" s="1"/>
    </row>
    <row r="315">
      <c r="B315" s="1"/>
      <c r="C315" s="1"/>
      <c r="D315" s="1"/>
    </row>
    <row r="316">
      <c r="B316" s="1"/>
      <c r="C316" s="1"/>
      <c r="D316" s="1"/>
    </row>
    <row r="317">
      <c r="B317" s="1"/>
      <c r="C317" s="1"/>
      <c r="D317" s="1"/>
    </row>
    <row r="318">
      <c r="B318" s="1"/>
      <c r="C318" s="1"/>
      <c r="D318" s="1"/>
    </row>
    <row r="319">
      <c r="B319" s="1"/>
      <c r="C319" s="1"/>
      <c r="D319" s="1"/>
    </row>
    <row r="320">
      <c r="B320" s="1"/>
      <c r="C320" s="1"/>
      <c r="D320" s="1"/>
    </row>
    <row r="321">
      <c r="B321" s="1"/>
      <c r="C321" s="1"/>
      <c r="D321" s="1"/>
    </row>
    <row r="322">
      <c r="B322" s="1"/>
      <c r="C322" s="1"/>
      <c r="D322" s="1"/>
    </row>
    <row r="323">
      <c r="B323" s="1"/>
      <c r="C323" s="1"/>
      <c r="D323" s="1"/>
    </row>
    <row r="324">
      <c r="B324" s="1"/>
      <c r="C324" s="1"/>
      <c r="D324" s="1"/>
    </row>
    <row r="325">
      <c r="B325" s="1"/>
      <c r="C325" s="1"/>
      <c r="D325" s="1"/>
    </row>
    <row r="326">
      <c r="B326" s="1"/>
      <c r="C326" s="1"/>
      <c r="D326" s="1"/>
    </row>
    <row r="327">
      <c r="B327" s="1"/>
      <c r="C327" s="1"/>
      <c r="D327" s="1"/>
    </row>
    <row r="328">
      <c r="B328" s="1"/>
      <c r="C328" s="1"/>
      <c r="D328" s="1"/>
    </row>
    <row r="329">
      <c r="B329" s="1"/>
      <c r="C329" s="1"/>
      <c r="D329" s="1"/>
    </row>
    <row r="330">
      <c r="B330" s="1"/>
      <c r="C330" s="1"/>
      <c r="D330" s="1"/>
    </row>
    <row r="331">
      <c r="B331" s="1"/>
      <c r="C331" s="1"/>
      <c r="D331" s="1"/>
    </row>
    <row r="332">
      <c r="B332" s="1"/>
      <c r="C332" s="1"/>
      <c r="D332" s="1"/>
    </row>
    <row r="333">
      <c r="B333" s="1"/>
      <c r="C333" s="1"/>
      <c r="D333" s="1"/>
    </row>
    <row r="334">
      <c r="B334" s="1"/>
      <c r="C334" s="1"/>
      <c r="D334" s="1"/>
    </row>
    <row r="335">
      <c r="B335" s="1"/>
      <c r="C335" s="1"/>
      <c r="D335" s="1"/>
    </row>
    <row r="336">
      <c r="B336" s="1"/>
      <c r="C336" s="1"/>
      <c r="D336" s="1"/>
    </row>
    <row r="337">
      <c r="B337" s="1"/>
      <c r="C337" s="1"/>
      <c r="D337" s="1"/>
    </row>
    <row r="338">
      <c r="B338" s="1"/>
      <c r="C338" s="1"/>
      <c r="D338" s="1"/>
    </row>
    <row r="339">
      <c r="B339" s="1"/>
      <c r="C339" s="1"/>
      <c r="D339" s="1"/>
    </row>
    <row r="340">
      <c r="B340" s="1"/>
      <c r="C340" s="1"/>
      <c r="D340" s="1"/>
    </row>
    <row r="341">
      <c r="B341" s="1"/>
      <c r="C341" s="1"/>
      <c r="D341" s="1"/>
    </row>
    <row r="342">
      <c r="B342" s="1"/>
      <c r="C342" s="1"/>
      <c r="D342" s="1"/>
    </row>
    <row r="343">
      <c r="B343" s="1"/>
      <c r="C343" s="1"/>
      <c r="D343" s="1"/>
    </row>
    <row r="344">
      <c r="B344" s="1"/>
      <c r="C344" s="1"/>
      <c r="D344" s="1"/>
    </row>
    <row r="345">
      <c r="B345" s="1"/>
      <c r="C345" s="1"/>
      <c r="D345" s="1"/>
    </row>
    <row r="346">
      <c r="B346" s="1"/>
      <c r="C346" s="1"/>
      <c r="D346" s="1"/>
    </row>
    <row r="347">
      <c r="B347" s="1"/>
      <c r="C347" s="1"/>
      <c r="D347" s="1"/>
    </row>
    <row r="348">
      <c r="B348" s="1"/>
      <c r="C348" s="1"/>
      <c r="D348" s="1"/>
    </row>
    <row r="349">
      <c r="B349" s="1"/>
      <c r="C349" s="1"/>
      <c r="D349" s="1"/>
    </row>
    <row r="350">
      <c r="B350" s="1"/>
      <c r="C350" s="1"/>
      <c r="D350" s="1"/>
    </row>
    <row r="351">
      <c r="B351" s="1"/>
      <c r="C351" s="1"/>
      <c r="D351" s="1"/>
    </row>
    <row r="352">
      <c r="B352" s="1"/>
      <c r="C352" s="1"/>
      <c r="D352" s="1"/>
    </row>
    <row r="353">
      <c r="B353" s="1"/>
      <c r="C353" s="1"/>
      <c r="D353" s="1"/>
    </row>
    <row r="354">
      <c r="B354" s="1"/>
      <c r="C354" s="1"/>
      <c r="D354" s="1"/>
    </row>
    <row r="355">
      <c r="B355" s="1"/>
      <c r="C355" s="1"/>
      <c r="D355" s="1"/>
    </row>
    <row r="356">
      <c r="B356" s="1"/>
      <c r="C356" s="1"/>
      <c r="D356" s="1"/>
    </row>
    <row r="357">
      <c r="B357" s="1"/>
      <c r="C357" s="1"/>
      <c r="D357" s="1"/>
    </row>
    <row r="358">
      <c r="B358" s="1"/>
      <c r="C358" s="1"/>
      <c r="D358" s="1"/>
    </row>
    <row r="359">
      <c r="B359" s="1"/>
      <c r="C359" s="1"/>
      <c r="D359" s="1"/>
    </row>
    <row r="360">
      <c r="B360" s="1"/>
      <c r="C360" s="1"/>
      <c r="D360" s="1"/>
    </row>
    <row r="361">
      <c r="B361" s="1"/>
      <c r="C361" s="1"/>
      <c r="D361" s="1"/>
    </row>
    <row r="362">
      <c r="B362" s="1"/>
      <c r="C362" s="1"/>
      <c r="D362" s="1"/>
    </row>
    <row r="363">
      <c r="B363" s="1"/>
      <c r="C363" s="1"/>
      <c r="D363" s="1"/>
    </row>
    <row r="364">
      <c r="B364" s="1"/>
      <c r="C364" s="1"/>
      <c r="D364" s="1"/>
    </row>
    <row r="365">
      <c r="B365" s="1"/>
      <c r="C365" s="1"/>
      <c r="D365" s="1"/>
    </row>
    <row r="366">
      <c r="B366" s="1"/>
      <c r="C366" s="1"/>
      <c r="D366" s="1"/>
    </row>
    <row r="367">
      <c r="B367" s="1"/>
      <c r="C367" s="1"/>
      <c r="D367" s="1"/>
    </row>
    <row r="368">
      <c r="B368" s="1"/>
      <c r="C368" s="1"/>
      <c r="D368" s="1"/>
    </row>
    <row r="369">
      <c r="B369" s="1"/>
      <c r="C369" s="1"/>
      <c r="D369" s="1"/>
    </row>
    <row r="370">
      <c r="B370" s="1"/>
      <c r="C370" s="1"/>
      <c r="D370" s="1"/>
    </row>
    <row r="371">
      <c r="B371" s="1"/>
      <c r="C371" s="1"/>
      <c r="D371" s="1"/>
    </row>
    <row r="372">
      <c r="B372" s="1"/>
      <c r="C372" s="1"/>
      <c r="D372" s="1"/>
    </row>
    <row r="373">
      <c r="B373" s="1"/>
      <c r="C373" s="1"/>
      <c r="D373" s="1"/>
    </row>
    <row r="374">
      <c r="B374" s="1"/>
      <c r="C374" s="1"/>
      <c r="D374" s="1"/>
    </row>
    <row r="375">
      <c r="B375" s="1"/>
      <c r="C375" s="1"/>
      <c r="D375" s="1"/>
    </row>
    <row r="376">
      <c r="B376" s="1"/>
      <c r="C376" s="1"/>
      <c r="D376" s="1"/>
    </row>
    <row r="377">
      <c r="B377" s="1"/>
      <c r="C377" s="1"/>
      <c r="D377" s="1"/>
    </row>
    <row r="378">
      <c r="B378" s="1"/>
      <c r="C378" s="1"/>
      <c r="D378" s="1"/>
    </row>
    <row r="379">
      <c r="B379" s="1"/>
      <c r="C379" s="1"/>
      <c r="D379" s="1"/>
    </row>
    <row r="380">
      <c r="B380" s="1"/>
      <c r="C380" s="1"/>
      <c r="D380" s="1"/>
    </row>
    <row r="381">
      <c r="B381" s="1"/>
      <c r="C381" s="1"/>
      <c r="D381" s="1"/>
    </row>
    <row r="382">
      <c r="B382" s="1"/>
      <c r="C382" s="1"/>
      <c r="D382" s="1"/>
    </row>
    <row r="383">
      <c r="B383" s="1"/>
      <c r="C383" s="1"/>
      <c r="D383" s="1"/>
    </row>
    <row r="384">
      <c r="B384" s="1"/>
      <c r="C384" s="1"/>
      <c r="D384" s="1"/>
    </row>
    <row r="385">
      <c r="B385" s="1"/>
      <c r="C385" s="1"/>
      <c r="D385" s="1"/>
    </row>
    <row r="386">
      <c r="B386" s="1"/>
      <c r="C386" s="1"/>
      <c r="D386" s="1"/>
    </row>
    <row r="387">
      <c r="B387" s="1"/>
      <c r="C387" s="1"/>
      <c r="D387" s="1"/>
    </row>
    <row r="388">
      <c r="B388" s="1"/>
      <c r="C388" s="1"/>
      <c r="D388" s="1"/>
    </row>
    <row r="389">
      <c r="B389" s="1"/>
      <c r="C389" s="1"/>
      <c r="D389" s="1"/>
    </row>
    <row r="390">
      <c r="B390" s="1"/>
      <c r="C390" s="1"/>
      <c r="D390" s="1"/>
    </row>
    <row r="391">
      <c r="B391" s="1"/>
      <c r="C391" s="1"/>
      <c r="D391" s="1"/>
    </row>
    <row r="392">
      <c r="B392" s="1"/>
      <c r="C392" s="1"/>
      <c r="D392" s="1"/>
    </row>
    <row r="393">
      <c r="B393" s="1"/>
      <c r="C393" s="1"/>
      <c r="D393" s="1"/>
    </row>
    <row r="394">
      <c r="B394" s="1"/>
      <c r="C394" s="1"/>
      <c r="D394" s="1"/>
    </row>
    <row r="395">
      <c r="B395" s="1"/>
      <c r="C395" s="1"/>
      <c r="D395" s="1"/>
    </row>
    <row r="396">
      <c r="B396" s="1"/>
      <c r="C396" s="1"/>
      <c r="D396" s="1"/>
    </row>
    <row r="397">
      <c r="B397" s="1"/>
      <c r="C397" s="1"/>
      <c r="D397" s="1"/>
    </row>
    <row r="398">
      <c r="B398" s="1"/>
      <c r="C398" s="1"/>
      <c r="D398" s="1"/>
    </row>
    <row r="399">
      <c r="B399" s="1"/>
      <c r="C399" s="1"/>
      <c r="D399" s="1"/>
    </row>
    <row r="400">
      <c r="B400" s="1"/>
      <c r="C400" s="1"/>
      <c r="D400" s="1"/>
    </row>
    <row r="401">
      <c r="B401" s="1"/>
      <c r="C401" s="1"/>
      <c r="D401" s="1"/>
    </row>
    <row r="402">
      <c r="B402" s="1"/>
      <c r="C402" s="1"/>
      <c r="D402" s="1"/>
    </row>
    <row r="403">
      <c r="B403" s="1"/>
      <c r="C403" s="1"/>
      <c r="D403" s="1"/>
    </row>
    <row r="404">
      <c r="B404" s="1"/>
      <c r="C404" s="1"/>
      <c r="D404" s="1"/>
    </row>
    <row r="405">
      <c r="B405" s="1"/>
      <c r="C405" s="1"/>
      <c r="D405" s="1"/>
    </row>
    <row r="406">
      <c r="B406" s="1"/>
      <c r="C406" s="1"/>
      <c r="D406" s="1"/>
    </row>
    <row r="407">
      <c r="B407" s="1"/>
      <c r="C407" s="1"/>
      <c r="D407" s="1"/>
    </row>
    <row r="408">
      <c r="B408" s="1"/>
      <c r="C408" s="1"/>
      <c r="D408" s="1"/>
    </row>
    <row r="409">
      <c r="B409" s="1"/>
      <c r="C409" s="1"/>
      <c r="D409" s="1"/>
    </row>
    <row r="410">
      <c r="B410" s="1"/>
      <c r="C410" s="1"/>
      <c r="D410" s="1"/>
    </row>
    <row r="411">
      <c r="B411" s="1"/>
      <c r="C411" s="1"/>
      <c r="D411" s="1"/>
    </row>
    <row r="412">
      <c r="B412" s="1"/>
      <c r="C412" s="1"/>
      <c r="D412" s="1"/>
    </row>
    <row r="413">
      <c r="B413" s="1"/>
      <c r="C413" s="1"/>
      <c r="D413" s="1"/>
    </row>
    <row r="414">
      <c r="B414" s="1"/>
      <c r="C414" s="1"/>
      <c r="D414" s="1"/>
    </row>
    <row r="415">
      <c r="B415" s="1"/>
      <c r="C415" s="1"/>
      <c r="D415" s="1"/>
    </row>
    <row r="416">
      <c r="B416" s="1"/>
      <c r="C416" s="1"/>
      <c r="D416" s="1"/>
    </row>
    <row r="417">
      <c r="B417" s="1"/>
      <c r="C417" s="1"/>
      <c r="D417" s="1"/>
    </row>
    <row r="418">
      <c r="B418" s="1"/>
      <c r="C418" s="1"/>
      <c r="D418" s="1"/>
    </row>
    <row r="419">
      <c r="B419" s="1"/>
      <c r="C419" s="1"/>
      <c r="D419" s="1"/>
    </row>
    <row r="420">
      <c r="B420" s="1"/>
      <c r="C420" s="1"/>
      <c r="D420" s="1"/>
    </row>
    <row r="421">
      <c r="B421" s="1"/>
      <c r="C421" s="1"/>
      <c r="D421" s="1"/>
    </row>
    <row r="422">
      <c r="B422" s="1"/>
      <c r="C422" s="1"/>
      <c r="D422" s="1"/>
    </row>
    <row r="423">
      <c r="B423" s="1"/>
      <c r="C423" s="1"/>
      <c r="D423" s="1"/>
    </row>
    <row r="424">
      <c r="B424" s="1"/>
      <c r="C424" s="1"/>
      <c r="D424" s="1"/>
    </row>
    <row r="425">
      <c r="B425" s="1"/>
      <c r="C425" s="1"/>
      <c r="D425" s="1"/>
    </row>
    <row r="426">
      <c r="B426" s="1"/>
      <c r="C426" s="1"/>
      <c r="D426" s="1"/>
    </row>
    <row r="427">
      <c r="B427" s="1"/>
      <c r="C427" s="1"/>
      <c r="D427" s="1"/>
    </row>
    <row r="428">
      <c r="B428" s="1"/>
      <c r="C428" s="1"/>
      <c r="D428" s="1"/>
    </row>
    <row r="429">
      <c r="B429" s="1"/>
      <c r="C429" s="1"/>
      <c r="D429" s="1"/>
    </row>
    <row r="430">
      <c r="B430" s="1"/>
      <c r="C430" s="1"/>
      <c r="D430" s="1"/>
    </row>
    <row r="431">
      <c r="B431" s="1"/>
      <c r="C431" s="1"/>
      <c r="D431" s="1"/>
    </row>
    <row r="432">
      <c r="B432" s="1"/>
      <c r="C432" s="1"/>
      <c r="D432" s="1"/>
    </row>
    <row r="433">
      <c r="B433" s="1"/>
      <c r="C433" s="1"/>
      <c r="D433" s="1"/>
    </row>
    <row r="434">
      <c r="B434" s="1"/>
      <c r="C434" s="1"/>
      <c r="D434" s="1"/>
    </row>
    <row r="435">
      <c r="B435" s="1"/>
      <c r="C435" s="1"/>
      <c r="D435" s="1"/>
    </row>
    <row r="436">
      <c r="B436" s="1"/>
      <c r="C436" s="1"/>
      <c r="D436" s="1"/>
    </row>
    <row r="437">
      <c r="B437" s="1"/>
      <c r="C437" s="1"/>
      <c r="D437" s="1"/>
    </row>
    <row r="438">
      <c r="B438" s="1"/>
      <c r="C438" s="1"/>
      <c r="D438" s="1"/>
    </row>
    <row r="439">
      <c r="B439" s="1"/>
      <c r="C439" s="1"/>
      <c r="D439" s="1"/>
    </row>
    <row r="440">
      <c r="B440" s="1"/>
      <c r="C440" s="1"/>
      <c r="D440" s="1"/>
    </row>
    <row r="441">
      <c r="B441" s="1"/>
      <c r="C441" s="1"/>
      <c r="D441" s="1"/>
    </row>
    <row r="442">
      <c r="B442" s="1"/>
      <c r="C442" s="1"/>
      <c r="D442" s="1"/>
    </row>
    <row r="443">
      <c r="B443" s="1"/>
      <c r="C443" s="1"/>
      <c r="D443" s="1"/>
    </row>
    <row r="444">
      <c r="B444" s="1"/>
      <c r="C444" s="1"/>
      <c r="D444" s="1"/>
    </row>
    <row r="445">
      <c r="B445" s="1"/>
      <c r="C445" s="1"/>
      <c r="D445" s="1"/>
    </row>
    <row r="446">
      <c r="B446" s="1"/>
      <c r="C446" s="1"/>
      <c r="D446" s="1"/>
    </row>
    <row r="447">
      <c r="B447" s="1"/>
      <c r="C447" s="1"/>
      <c r="D447" s="1"/>
    </row>
    <row r="448">
      <c r="B448" s="1"/>
      <c r="C448" s="1"/>
      <c r="D448" s="1"/>
    </row>
    <row r="449">
      <c r="B449" s="1"/>
      <c r="C449" s="1"/>
      <c r="D449" s="1"/>
    </row>
    <row r="450">
      <c r="B450" s="1"/>
      <c r="C450" s="1"/>
      <c r="D450" s="1"/>
    </row>
    <row r="451">
      <c r="B451" s="1"/>
      <c r="C451" s="1"/>
      <c r="D451" s="1"/>
    </row>
    <row r="452">
      <c r="B452" s="1"/>
      <c r="C452" s="1"/>
      <c r="D452" s="1"/>
    </row>
    <row r="453">
      <c r="B453" s="1"/>
      <c r="C453" s="1"/>
      <c r="D453" s="1"/>
    </row>
    <row r="454">
      <c r="B454" s="1"/>
      <c r="C454" s="1"/>
      <c r="D454" s="1"/>
    </row>
    <row r="455">
      <c r="B455" s="1"/>
      <c r="C455" s="1"/>
      <c r="D455" s="1"/>
    </row>
    <row r="456">
      <c r="B456" s="1"/>
      <c r="C456" s="1"/>
      <c r="D456" s="1"/>
    </row>
    <row r="457">
      <c r="B457" s="1"/>
      <c r="C457" s="1"/>
      <c r="D457" s="1"/>
    </row>
    <row r="458">
      <c r="B458" s="1"/>
      <c r="C458" s="1"/>
      <c r="D458" s="1"/>
    </row>
    <row r="459">
      <c r="B459" s="1"/>
      <c r="C459" s="1"/>
      <c r="D459" s="1"/>
    </row>
    <row r="460">
      <c r="B460" s="1"/>
      <c r="C460" s="1"/>
      <c r="D460" s="1"/>
    </row>
    <row r="461">
      <c r="B461" s="1"/>
      <c r="C461" s="1"/>
      <c r="D461" s="1"/>
    </row>
    <row r="462">
      <c r="B462" s="1"/>
      <c r="C462" s="1"/>
      <c r="D462" s="1"/>
    </row>
    <row r="463">
      <c r="B463" s="1"/>
      <c r="C463" s="1"/>
      <c r="D463" s="1"/>
    </row>
    <row r="464">
      <c r="B464" s="1"/>
      <c r="C464" s="1"/>
      <c r="D464" s="1"/>
    </row>
    <row r="465">
      <c r="B465" s="1"/>
      <c r="C465" s="1"/>
      <c r="D465" s="1"/>
    </row>
    <row r="466">
      <c r="B466" s="1"/>
      <c r="C466" s="1"/>
      <c r="D466" s="1"/>
    </row>
    <row r="467">
      <c r="B467" s="1"/>
      <c r="C467" s="1"/>
      <c r="D467" s="1"/>
    </row>
    <row r="468">
      <c r="B468" s="1"/>
      <c r="C468" s="1"/>
      <c r="D468" s="1"/>
    </row>
    <row r="469">
      <c r="B469" s="1"/>
      <c r="C469" s="1"/>
      <c r="D469" s="1"/>
    </row>
    <row r="470">
      <c r="B470" s="1"/>
      <c r="C470" s="1"/>
      <c r="D470" s="1"/>
    </row>
    <row r="471">
      <c r="B471" s="1"/>
      <c r="C471" s="1"/>
      <c r="D471" s="1"/>
    </row>
    <row r="472">
      <c r="B472" s="1"/>
      <c r="C472" s="1"/>
      <c r="D472" s="1"/>
    </row>
    <row r="473">
      <c r="B473" s="1"/>
      <c r="C473" s="1"/>
      <c r="D473" s="1"/>
    </row>
    <row r="474">
      <c r="B474" s="1"/>
      <c r="C474" s="1"/>
      <c r="D474" s="1"/>
    </row>
    <row r="475">
      <c r="B475" s="1"/>
      <c r="C475" s="1"/>
      <c r="D475" s="1"/>
    </row>
    <row r="476">
      <c r="B476" s="1"/>
      <c r="C476" s="1"/>
      <c r="D476" s="1"/>
    </row>
    <row r="477">
      <c r="B477" s="1"/>
      <c r="C477" s="1"/>
      <c r="D477" s="1"/>
    </row>
    <row r="478">
      <c r="B478" s="1"/>
      <c r="C478" s="1"/>
      <c r="D478" s="1"/>
    </row>
    <row r="479">
      <c r="B479" s="1"/>
      <c r="C479" s="1"/>
      <c r="D479" s="1"/>
    </row>
    <row r="480">
      <c r="B480" s="1"/>
      <c r="C480" s="1"/>
      <c r="D480" s="1"/>
    </row>
    <row r="481">
      <c r="B481" s="1"/>
      <c r="C481" s="1"/>
      <c r="D481" s="1"/>
    </row>
    <row r="482">
      <c r="B482" s="1"/>
      <c r="C482" s="1"/>
      <c r="D482" s="1"/>
    </row>
    <row r="483">
      <c r="B483" s="1"/>
      <c r="C483" s="1"/>
      <c r="D483" s="1"/>
    </row>
    <row r="484">
      <c r="B484" s="1"/>
      <c r="C484" s="1"/>
      <c r="D484" s="1"/>
    </row>
    <row r="485">
      <c r="B485" s="1"/>
      <c r="C485" s="1"/>
      <c r="D485" s="1"/>
    </row>
    <row r="486">
      <c r="B486" s="1"/>
      <c r="C486" s="1"/>
      <c r="D486" s="1"/>
    </row>
    <row r="487">
      <c r="B487" s="1"/>
      <c r="C487" s="1"/>
      <c r="D487" s="1"/>
    </row>
    <row r="488">
      <c r="B488" s="1"/>
      <c r="C488" s="1"/>
      <c r="D488" s="1"/>
    </row>
    <row r="489">
      <c r="B489" s="1"/>
      <c r="C489" s="1"/>
      <c r="D489" s="1"/>
    </row>
    <row r="490">
      <c r="B490" s="1"/>
      <c r="C490" s="1"/>
      <c r="D490" s="1"/>
    </row>
    <row r="491">
      <c r="B491" s="1"/>
      <c r="C491" s="1"/>
      <c r="D491" s="1"/>
    </row>
    <row r="492">
      <c r="B492" s="1"/>
      <c r="C492" s="1"/>
      <c r="D492" s="1"/>
    </row>
    <row r="493">
      <c r="B493" s="1"/>
      <c r="C493" s="1"/>
      <c r="D493" s="1"/>
    </row>
    <row r="494">
      <c r="B494" s="1"/>
      <c r="C494" s="1"/>
      <c r="D494" s="1"/>
    </row>
    <row r="495">
      <c r="B495" s="1"/>
      <c r="C495" s="1"/>
      <c r="D495" s="1"/>
    </row>
    <row r="496">
      <c r="B496" s="1"/>
      <c r="C496" s="1"/>
      <c r="D496" s="1"/>
    </row>
    <row r="497">
      <c r="B497" s="1"/>
      <c r="C497" s="1"/>
      <c r="D497" s="1"/>
    </row>
    <row r="498">
      <c r="B498" s="1"/>
      <c r="C498" s="1"/>
      <c r="D498" s="1"/>
    </row>
    <row r="499">
      <c r="B499" s="1"/>
      <c r="C499" s="1"/>
      <c r="D499" s="1"/>
    </row>
    <row r="500">
      <c r="B500" s="1"/>
      <c r="C500" s="1"/>
      <c r="D500" s="1"/>
    </row>
    <row r="501">
      <c r="B501" s="1"/>
      <c r="C501" s="1"/>
      <c r="D501" s="1"/>
    </row>
    <row r="502">
      <c r="B502" s="1"/>
      <c r="C502" s="1"/>
      <c r="D502" s="1"/>
    </row>
    <row r="503">
      <c r="B503" s="1"/>
      <c r="C503" s="1"/>
      <c r="D503" s="1"/>
    </row>
    <row r="504">
      <c r="B504" s="1"/>
      <c r="C504" s="1"/>
      <c r="D504" s="1"/>
    </row>
    <row r="505">
      <c r="B505" s="1"/>
      <c r="C505" s="1"/>
      <c r="D505" s="1"/>
    </row>
    <row r="506">
      <c r="B506" s="1"/>
      <c r="C506" s="1"/>
      <c r="D506" s="1"/>
    </row>
    <row r="507">
      <c r="B507" s="1"/>
      <c r="C507" s="1"/>
      <c r="D507" s="1"/>
    </row>
    <row r="508">
      <c r="B508" s="1"/>
      <c r="C508" s="1"/>
      <c r="D508" s="1"/>
    </row>
    <row r="509">
      <c r="B509" s="1"/>
      <c r="C509" s="1"/>
      <c r="D509" s="1"/>
    </row>
    <row r="510">
      <c r="B510" s="1"/>
      <c r="C510" s="1"/>
      <c r="D510" s="1"/>
    </row>
    <row r="511">
      <c r="B511" s="1"/>
      <c r="C511" s="1"/>
      <c r="D511" s="1"/>
    </row>
    <row r="512">
      <c r="B512" s="1"/>
      <c r="C512" s="1"/>
      <c r="D512" s="1"/>
    </row>
    <row r="513">
      <c r="B513" s="1"/>
      <c r="C513" s="1"/>
      <c r="D513" s="1"/>
    </row>
    <row r="514">
      <c r="B514" s="1"/>
      <c r="C514" s="1"/>
      <c r="D514" s="1"/>
    </row>
    <row r="515">
      <c r="B515" s="1"/>
      <c r="C515" s="1"/>
      <c r="D515" s="1"/>
    </row>
    <row r="516">
      <c r="B516" s="1"/>
      <c r="C516" s="1"/>
      <c r="D516" s="1"/>
    </row>
    <row r="517">
      <c r="B517" s="1"/>
      <c r="C517" s="1"/>
      <c r="D517" s="1"/>
    </row>
    <row r="518">
      <c r="B518" s="1"/>
      <c r="C518" s="1"/>
      <c r="D518" s="1"/>
    </row>
    <row r="519">
      <c r="B519" s="1"/>
      <c r="C519" s="1"/>
      <c r="D519" s="1"/>
    </row>
    <row r="520">
      <c r="B520" s="1"/>
      <c r="C520" s="1"/>
      <c r="D520" s="1"/>
    </row>
    <row r="521">
      <c r="B521" s="1"/>
      <c r="C521" s="1"/>
      <c r="D521" s="1"/>
    </row>
    <row r="522">
      <c r="B522" s="1"/>
      <c r="C522" s="1"/>
      <c r="D522" s="1"/>
    </row>
    <row r="523">
      <c r="B523" s="1"/>
      <c r="C523" s="1"/>
      <c r="D523" s="1"/>
    </row>
    <row r="524">
      <c r="B524" s="1"/>
      <c r="C524" s="1"/>
      <c r="D524" s="1"/>
    </row>
    <row r="525">
      <c r="B525" s="1"/>
      <c r="C525" s="1"/>
      <c r="D525" s="1"/>
    </row>
    <row r="526">
      <c r="B526" s="1"/>
      <c r="C526" s="1"/>
      <c r="D526" s="1"/>
    </row>
    <row r="527">
      <c r="B527" s="1"/>
      <c r="C527" s="1"/>
      <c r="D527" s="1"/>
    </row>
    <row r="528">
      <c r="B528" s="1"/>
      <c r="C528" s="1"/>
      <c r="D528" s="1"/>
    </row>
    <row r="529">
      <c r="B529" s="1"/>
      <c r="C529" s="1"/>
      <c r="D529" s="1"/>
    </row>
    <row r="530">
      <c r="B530" s="1"/>
      <c r="C530" s="1"/>
      <c r="D530" s="1"/>
    </row>
    <row r="531">
      <c r="B531" s="1"/>
      <c r="C531" s="1"/>
      <c r="D531" s="1"/>
    </row>
    <row r="532">
      <c r="B532" s="1"/>
      <c r="C532" s="1"/>
      <c r="D532" s="1"/>
    </row>
    <row r="533">
      <c r="B533" s="1"/>
      <c r="C533" s="1"/>
      <c r="D533" s="1"/>
    </row>
    <row r="534">
      <c r="B534" s="1"/>
      <c r="C534" s="1"/>
      <c r="D534" s="1"/>
    </row>
    <row r="535">
      <c r="B535" s="1"/>
      <c r="C535" s="1"/>
      <c r="D535" s="1"/>
    </row>
    <row r="536">
      <c r="B536" s="1"/>
      <c r="C536" s="1"/>
      <c r="D536" s="1"/>
    </row>
    <row r="537">
      <c r="B537" s="1"/>
      <c r="C537" s="1"/>
      <c r="D537" s="1"/>
    </row>
    <row r="538">
      <c r="B538" s="1"/>
      <c r="C538" s="1"/>
      <c r="D538" s="1"/>
    </row>
    <row r="539">
      <c r="B539" s="1"/>
      <c r="C539" s="1"/>
      <c r="D539" s="1"/>
    </row>
    <row r="540">
      <c r="B540" s="1"/>
      <c r="C540" s="1"/>
      <c r="D540" s="1"/>
    </row>
    <row r="541">
      <c r="B541" s="1"/>
      <c r="C541" s="1"/>
      <c r="D541" s="1"/>
    </row>
    <row r="542">
      <c r="B542" s="1"/>
      <c r="C542" s="1"/>
      <c r="D542" s="1"/>
    </row>
    <row r="543">
      <c r="B543" s="1"/>
      <c r="C543" s="1"/>
      <c r="D543" s="1"/>
    </row>
    <row r="544">
      <c r="B544" s="1"/>
      <c r="C544" s="1"/>
      <c r="D544" s="1"/>
    </row>
    <row r="545">
      <c r="B545" s="1"/>
      <c r="C545" s="1"/>
      <c r="D545" s="1"/>
    </row>
    <row r="546">
      <c r="B546" s="1"/>
      <c r="C546" s="1"/>
      <c r="D546" s="1"/>
    </row>
    <row r="547">
      <c r="B547" s="1"/>
      <c r="C547" s="1"/>
      <c r="D547" s="1"/>
    </row>
    <row r="548">
      <c r="B548" s="1"/>
      <c r="C548" s="1"/>
      <c r="D548" s="1"/>
    </row>
    <row r="549">
      <c r="B549" s="1"/>
      <c r="C549" s="1"/>
      <c r="D549" s="1"/>
    </row>
    <row r="550">
      <c r="B550" s="1"/>
      <c r="C550" s="1"/>
      <c r="D550" s="1"/>
    </row>
    <row r="551">
      <c r="B551" s="1"/>
      <c r="C551" s="1"/>
      <c r="D551" s="1"/>
    </row>
    <row r="552">
      <c r="B552" s="1"/>
      <c r="C552" s="1"/>
      <c r="D552" s="1"/>
    </row>
    <row r="553">
      <c r="B553" s="1"/>
      <c r="C553" s="1"/>
      <c r="D553" s="1"/>
    </row>
    <row r="554">
      <c r="B554" s="1"/>
      <c r="C554" s="1"/>
      <c r="D554" s="1"/>
    </row>
    <row r="555">
      <c r="B555" s="1"/>
      <c r="C555" s="1"/>
      <c r="D555" s="1"/>
    </row>
    <row r="556">
      <c r="B556" s="1"/>
      <c r="C556" s="1"/>
      <c r="D556" s="1"/>
    </row>
    <row r="557">
      <c r="B557" s="1"/>
      <c r="C557" s="1"/>
      <c r="D557" s="1"/>
    </row>
    <row r="558">
      <c r="B558" s="1"/>
      <c r="C558" s="1"/>
      <c r="D558" s="1"/>
    </row>
    <row r="559">
      <c r="B559" s="1"/>
      <c r="C559" s="1"/>
      <c r="D559" s="1"/>
    </row>
    <row r="560">
      <c r="B560" s="1"/>
      <c r="C560" s="1"/>
      <c r="D560" s="1"/>
    </row>
    <row r="561">
      <c r="B561" s="1"/>
      <c r="C561" s="1"/>
      <c r="D561" s="1"/>
    </row>
    <row r="562">
      <c r="B562" s="1"/>
      <c r="C562" s="1"/>
      <c r="D562" s="1"/>
    </row>
    <row r="563">
      <c r="B563" s="1"/>
      <c r="C563" s="1"/>
      <c r="D563" s="1"/>
    </row>
    <row r="564">
      <c r="B564" s="1"/>
      <c r="C564" s="1"/>
      <c r="D564" s="1"/>
    </row>
    <row r="565">
      <c r="B565" s="1"/>
      <c r="C565" s="1"/>
      <c r="D565" s="1"/>
    </row>
    <row r="566">
      <c r="B566" s="1"/>
      <c r="C566" s="1"/>
      <c r="D566" s="1"/>
    </row>
    <row r="567">
      <c r="B567" s="1"/>
      <c r="C567" s="1"/>
      <c r="D567" s="1"/>
    </row>
    <row r="568">
      <c r="B568" s="1"/>
      <c r="C568" s="1"/>
      <c r="D568" s="1"/>
    </row>
    <row r="569">
      <c r="B569" s="1"/>
      <c r="C569" s="1"/>
      <c r="D569" s="1"/>
    </row>
    <row r="570">
      <c r="B570" s="1"/>
      <c r="C570" s="1"/>
      <c r="D570" s="1"/>
    </row>
    <row r="571">
      <c r="B571" s="1"/>
      <c r="C571" s="1"/>
      <c r="D571" s="1"/>
    </row>
    <row r="572">
      <c r="B572" s="1"/>
      <c r="C572" s="1"/>
      <c r="D572" s="1"/>
    </row>
    <row r="573">
      <c r="B573" s="1"/>
      <c r="C573" s="1"/>
      <c r="D573" s="1"/>
    </row>
    <row r="574">
      <c r="B574" s="1"/>
      <c r="C574" s="1"/>
      <c r="D574" s="1"/>
    </row>
    <row r="575">
      <c r="B575" s="1"/>
      <c r="C575" s="1"/>
      <c r="D575" s="1"/>
    </row>
    <row r="576">
      <c r="B576" s="1"/>
      <c r="C576" s="1"/>
      <c r="D576" s="1"/>
    </row>
    <row r="577">
      <c r="B577" s="1"/>
      <c r="C577" s="1"/>
      <c r="D577" s="1"/>
    </row>
    <row r="578">
      <c r="B578" s="1"/>
      <c r="C578" s="1"/>
      <c r="D578" s="1"/>
    </row>
    <row r="579">
      <c r="B579" s="1"/>
      <c r="C579" s="1"/>
      <c r="D579" s="1"/>
    </row>
    <row r="580">
      <c r="B580" s="1"/>
      <c r="C580" s="1"/>
      <c r="D580" s="1"/>
    </row>
    <row r="581">
      <c r="B581" s="1"/>
      <c r="C581" s="1"/>
      <c r="D581" s="1"/>
    </row>
    <row r="582">
      <c r="B582" s="1"/>
      <c r="C582" s="1"/>
      <c r="D582" s="1"/>
    </row>
    <row r="583">
      <c r="B583" s="1"/>
      <c r="C583" s="1"/>
      <c r="D583" s="1"/>
    </row>
    <row r="584">
      <c r="B584" s="1"/>
      <c r="C584" s="1"/>
      <c r="D584" s="1"/>
    </row>
    <row r="585">
      <c r="B585" s="1"/>
      <c r="C585" s="1"/>
      <c r="D585" s="1"/>
    </row>
    <row r="586">
      <c r="B586" s="1"/>
      <c r="C586" s="1"/>
      <c r="D586" s="1"/>
    </row>
    <row r="587">
      <c r="B587" s="1"/>
      <c r="C587" s="1"/>
      <c r="D587" s="1"/>
    </row>
    <row r="588">
      <c r="B588" s="1"/>
      <c r="C588" s="1"/>
      <c r="D588" s="1"/>
    </row>
    <row r="589">
      <c r="B589" s="1"/>
      <c r="C589" s="1"/>
      <c r="D589" s="1"/>
    </row>
    <row r="590">
      <c r="B590" s="1"/>
      <c r="C590" s="1"/>
      <c r="D590" s="1"/>
    </row>
    <row r="591">
      <c r="B591" s="1"/>
      <c r="C591" s="1"/>
      <c r="D591" s="1"/>
    </row>
    <row r="592">
      <c r="B592" s="1"/>
      <c r="C592" s="1"/>
      <c r="D592" s="1"/>
    </row>
    <row r="593">
      <c r="B593" s="1"/>
      <c r="C593" s="1"/>
      <c r="D593" s="1"/>
    </row>
    <row r="594">
      <c r="B594" s="1"/>
      <c r="C594" s="1"/>
      <c r="D594" s="1"/>
    </row>
    <row r="595">
      <c r="B595" s="1"/>
      <c r="C595" s="1"/>
      <c r="D595" s="1"/>
    </row>
    <row r="596">
      <c r="B596" s="1"/>
      <c r="C596" s="1"/>
      <c r="D596" s="1"/>
    </row>
    <row r="597">
      <c r="B597" s="1"/>
      <c r="C597" s="1"/>
      <c r="D597" s="1"/>
    </row>
    <row r="598">
      <c r="B598" s="1"/>
      <c r="C598" s="1"/>
      <c r="D598" s="1"/>
    </row>
    <row r="599">
      <c r="B599" s="1"/>
      <c r="C599" s="1"/>
      <c r="D599" s="1"/>
    </row>
    <row r="600">
      <c r="B600" s="1"/>
      <c r="C600" s="1"/>
      <c r="D600" s="1"/>
    </row>
    <row r="601">
      <c r="B601" s="1"/>
      <c r="C601" s="1"/>
      <c r="D601" s="1"/>
    </row>
    <row r="602">
      <c r="B602" s="1"/>
      <c r="C602" s="1"/>
      <c r="D602" s="1"/>
    </row>
    <row r="603">
      <c r="B603" s="1"/>
      <c r="C603" s="1"/>
      <c r="D603" s="1"/>
    </row>
    <row r="604">
      <c r="B604" s="1"/>
      <c r="C604" s="1"/>
      <c r="D604" s="1"/>
    </row>
    <row r="605">
      <c r="B605" s="1"/>
      <c r="C605" s="1"/>
      <c r="D605" s="1"/>
    </row>
    <row r="606">
      <c r="B606" s="1"/>
      <c r="C606" s="1"/>
      <c r="D606" s="1"/>
    </row>
    <row r="607">
      <c r="B607" s="1"/>
      <c r="C607" s="1"/>
      <c r="D607" s="1"/>
    </row>
    <row r="608">
      <c r="B608" s="1"/>
      <c r="C608" s="1"/>
      <c r="D608" s="1"/>
    </row>
    <row r="609">
      <c r="B609" s="1"/>
      <c r="C609" s="1"/>
      <c r="D609" s="1"/>
    </row>
    <row r="610">
      <c r="B610" s="1"/>
      <c r="C610" s="1"/>
      <c r="D610" s="1"/>
    </row>
    <row r="611">
      <c r="B611" s="1"/>
      <c r="C611" s="1"/>
      <c r="D611" s="1"/>
    </row>
    <row r="612">
      <c r="B612" s="1"/>
      <c r="C612" s="1"/>
      <c r="D612" s="1"/>
    </row>
    <row r="613">
      <c r="B613" s="1"/>
      <c r="C613" s="1"/>
      <c r="D613" s="1"/>
    </row>
    <row r="614">
      <c r="B614" s="1"/>
      <c r="C614" s="1"/>
      <c r="D614" s="1"/>
    </row>
    <row r="615">
      <c r="B615" s="1"/>
      <c r="C615" s="1"/>
      <c r="D615" s="1"/>
    </row>
    <row r="616">
      <c r="B616" s="1"/>
      <c r="C616" s="1"/>
      <c r="D616" s="1"/>
    </row>
    <row r="617">
      <c r="B617" s="1"/>
      <c r="C617" s="1"/>
      <c r="D617" s="1"/>
    </row>
    <row r="618">
      <c r="B618" s="1"/>
      <c r="C618" s="1"/>
      <c r="D618" s="1"/>
    </row>
    <row r="619">
      <c r="B619" s="1"/>
      <c r="C619" s="1"/>
      <c r="D619" s="1"/>
    </row>
    <row r="620">
      <c r="B620" s="1"/>
      <c r="C620" s="1"/>
      <c r="D620" s="1"/>
    </row>
    <row r="621">
      <c r="B621" s="1"/>
      <c r="C621" s="1"/>
      <c r="D621" s="1"/>
    </row>
    <row r="622">
      <c r="B622" s="1"/>
      <c r="C622" s="1"/>
      <c r="D622" s="1"/>
    </row>
    <row r="623">
      <c r="B623" s="1"/>
      <c r="C623" s="1"/>
      <c r="D623" s="1"/>
    </row>
    <row r="624">
      <c r="B624" s="1"/>
      <c r="C624" s="1"/>
      <c r="D624" s="1"/>
    </row>
    <row r="625">
      <c r="B625" s="1"/>
      <c r="C625" s="1"/>
      <c r="D625" s="1"/>
    </row>
    <row r="626">
      <c r="B626" s="1"/>
      <c r="C626" s="1"/>
      <c r="D626" s="1"/>
    </row>
    <row r="627">
      <c r="B627" s="1"/>
      <c r="C627" s="1"/>
      <c r="D627" s="1"/>
    </row>
    <row r="628">
      <c r="B628" s="1"/>
      <c r="C628" s="1"/>
      <c r="D628" s="1"/>
    </row>
    <row r="629">
      <c r="B629" s="1"/>
      <c r="C629" s="1"/>
      <c r="D629" s="1"/>
    </row>
    <row r="630">
      <c r="B630" s="1"/>
      <c r="C630" s="1"/>
      <c r="D630" s="1"/>
    </row>
    <row r="631">
      <c r="B631" s="1"/>
      <c r="C631" s="1"/>
      <c r="D631" s="1"/>
    </row>
    <row r="632">
      <c r="B632" s="1"/>
      <c r="C632" s="1"/>
      <c r="D632" s="1"/>
    </row>
    <row r="633">
      <c r="B633" s="1"/>
      <c r="C633" s="1"/>
      <c r="D633" s="1"/>
    </row>
    <row r="634">
      <c r="B634" s="1"/>
      <c r="C634" s="1"/>
      <c r="D634" s="1"/>
    </row>
    <row r="635">
      <c r="B635" s="1"/>
      <c r="C635" s="1"/>
      <c r="D635" s="1"/>
    </row>
    <row r="636">
      <c r="B636" s="1"/>
      <c r="C636" s="1"/>
      <c r="D636" s="1"/>
    </row>
    <row r="637">
      <c r="B637" s="1"/>
      <c r="C637" s="1"/>
      <c r="D637" s="1"/>
    </row>
    <row r="638">
      <c r="B638" s="1"/>
      <c r="C638" s="1"/>
      <c r="D638" s="1"/>
    </row>
    <row r="639">
      <c r="B639" s="1"/>
      <c r="C639" s="1"/>
      <c r="D639" s="1"/>
    </row>
    <row r="640">
      <c r="B640" s="1"/>
      <c r="C640" s="1"/>
      <c r="D640" s="1"/>
    </row>
    <row r="641">
      <c r="B641" s="1"/>
      <c r="C641" s="1"/>
      <c r="D641" s="1"/>
    </row>
    <row r="642">
      <c r="B642" s="1"/>
      <c r="C642" s="1"/>
      <c r="D642" s="1"/>
    </row>
    <row r="643">
      <c r="B643" s="1"/>
      <c r="C643" s="1"/>
      <c r="D643" s="1"/>
    </row>
    <row r="644">
      <c r="B644" s="1"/>
      <c r="C644" s="1"/>
      <c r="D644" s="1"/>
    </row>
    <row r="645">
      <c r="B645" s="1"/>
      <c r="C645" s="1"/>
      <c r="D645" s="1"/>
    </row>
    <row r="646">
      <c r="B646" s="1"/>
      <c r="C646" s="1"/>
      <c r="D646" s="1"/>
    </row>
    <row r="647">
      <c r="B647" s="1"/>
      <c r="C647" s="1"/>
      <c r="D647" s="1"/>
    </row>
    <row r="648">
      <c r="B648" s="1"/>
      <c r="C648" s="1"/>
      <c r="D648" s="1"/>
    </row>
    <row r="649">
      <c r="B649" s="1"/>
      <c r="C649" s="1"/>
      <c r="D649" s="1"/>
    </row>
    <row r="650">
      <c r="B650" s="1"/>
      <c r="C650" s="1"/>
      <c r="D650" s="1"/>
    </row>
    <row r="651">
      <c r="B651" s="1"/>
      <c r="C651" s="1"/>
      <c r="D651" s="1"/>
    </row>
    <row r="652">
      <c r="B652" s="1"/>
      <c r="C652" s="1"/>
      <c r="D652" s="1"/>
    </row>
    <row r="653">
      <c r="B653" s="1"/>
      <c r="C653" s="1"/>
      <c r="D653" s="1"/>
    </row>
    <row r="654">
      <c r="B654" s="1"/>
      <c r="C654" s="1"/>
      <c r="D654" s="1"/>
    </row>
    <row r="655">
      <c r="B655" s="1"/>
      <c r="C655" s="1"/>
      <c r="D655" s="1"/>
    </row>
    <row r="656">
      <c r="B656" s="1"/>
      <c r="C656" s="1"/>
      <c r="D656" s="1"/>
    </row>
    <row r="657">
      <c r="B657" s="1"/>
      <c r="C657" s="1"/>
      <c r="D657" s="1"/>
    </row>
    <row r="658">
      <c r="B658" s="1"/>
      <c r="C658" s="1"/>
      <c r="D658" s="1"/>
    </row>
    <row r="659">
      <c r="B659" s="1"/>
      <c r="C659" s="1"/>
      <c r="D659" s="1"/>
    </row>
    <row r="660">
      <c r="B660" s="1"/>
      <c r="C660" s="1"/>
      <c r="D660" s="1"/>
    </row>
    <row r="661">
      <c r="B661" s="1"/>
      <c r="C661" s="1"/>
      <c r="D661" s="1"/>
    </row>
    <row r="662">
      <c r="B662" s="1"/>
      <c r="C662" s="1"/>
      <c r="D662" s="1"/>
    </row>
    <row r="663">
      <c r="B663" s="1"/>
      <c r="C663" s="1"/>
      <c r="D663" s="1"/>
    </row>
    <row r="664">
      <c r="B664" s="1"/>
      <c r="C664" s="1"/>
      <c r="D664" s="1"/>
    </row>
    <row r="665">
      <c r="B665" s="1"/>
      <c r="C665" s="1"/>
      <c r="D665" s="1"/>
    </row>
    <row r="666">
      <c r="B666" s="1"/>
      <c r="C666" s="1"/>
      <c r="D666" s="1"/>
    </row>
    <row r="667">
      <c r="B667" s="1"/>
      <c r="C667" s="1"/>
      <c r="D667" s="1"/>
    </row>
    <row r="668">
      <c r="B668" s="1"/>
      <c r="C668" s="1"/>
      <c r="D668" s="1"/>
    </row>
    <row r="669">
      <c r="B669" s="1"/>
      <c r="C669" s="1"/>
      <c r="D669" s="1"/>
    </row>
    <row r="670">
      <c r="B670" s="1"/>
      <c r="C670" s="1"/>
      <c r="D670" s="1"/>
    </row>
    <row r="671">
      <c r="B671" s="1"/>
      <c r="C671" s="1"/>
      <c r="D671" s="1"/>
    </row>
    <row r="672">
      <c r="B672" s="1"/>
      <c r="C672" s="1"/>
      <c r="D672" s="1"/>
    </row>
    <row r="673">
      <c r="B673" s="1"/>
      <c r="C673" s="1"/>
      <c r="D673" s="1"/>
    </row>
    <row r="674">
      <c r="B674" s="1"/>
      <c r="C674" s="1"/>
      <c r="D674" s="1"/>
    </row>
    <row r="675">
      <c r="B675" s="1"/>
      <c r="C675" s="1"/>
      <c r="D675" s="1"/>
    </row>
    <row r="676">
      <c r="B676" s="1"/>
      <c r="C676" s="1"/>
      <c r="D676" s="1"/>
    </row>
    <row r="677">
      <c r="B677" s="1"/>
      <c r="C677" s="1"/>
      <c r="D677" s="1"/>
    </row>
    <row r="678">
      <c r="B678" s="1"/>
      <c r="C678" s="1"/>
      <c r="D678" s="1"/>
    </row>
    <row r="679">
      <c r="B679" s="1"/>
      <c r="C679" s="1"/>
      <c r="D679" s="1"/>
    </row>
    <row r="680">
      <c r="B680" s="1"/>
      <c r="C680" s="1"/>
      <c r="D680" s="1"/>
    </row>
    <row r="681">
      <c r="B681" s="1"/>
      <c r="C681" s="1"/>
      <c r="D681" s="1"/>
    </row>
    <row r="682">
      <c r="B682" s="1"/>
      <c r="C682" s="1"/>
      <c r="D682" s="1"/>
    </row>
    <row r="683">
      <c r="B683" s="1"/>
      <c r="C683" s="1"/>
      <c r="D683" s="1"/>
    </row>
    <row r="684">
      <c r="B684" s="1"/>
      <c r="C684" s="1"/>
      <c r="D684" s="1"/>
    </row>
    <row r="685">
      <c r="B685" s="1"/>
      <c r="C685" s="1"/>
      <c r="D685" s="1"/>
    </row>
    <row r="686">
      <c r="B686" s="1"/>
      <c r="C686" s="1"/>
      <c r="D686" s="1"/>
    </row>
    <row r="687">
      <c r="B687" s="1"/>
      <c r="C687" s="1"/>
      <c r="D687" s="1"/>
    </row>
    <row r="688">
      <c r="B688" s="1"/>
      <c r="C688" s="1"/>
      <c r="D688" s="1"/>
    </row>
    <row r="689">
      <c r="B689" s="1"/>
      <c r="C689" s="1"/>
      <c r="D689" s="1"/>
    </row>
    <row r="690">
      <c r="B690" s="1"/>
      <c r="C690" s="1"/>
      <c r="D690" s="1"/>
    </row>
    <row r="691">
      <c r="B691" s="1"/>
      <c r="C691" s="1"/>
      <c r="D691" s="1"/>
    </row>
    <row r="692">
      <c r="B692" s="1"/>
      <c r="C692" s="1"/>
      <c r="D692" s="1"/>
    </row>
    <row r="693">
      <c r="B693" s="1"/>
      <c r="C693" s="1"/>
      <c r="D693" s="1"/>
    </row>
    <row r="694">
      <c r="B694" s="1"/>
      <c r="C694" s="1"/>
      <c r="D694" s="1"/>
    </row>
    <row r="695">
      <c r="B695" s="1"/>
      <c r="C695" s="1"/>
      <c r="D695" s="1"/>
    </row>
    <row r="696">
      <c r="B696" s="1"/>
      <c r="C696" s="1"/>
      <c r="D696" s="1"/>
    </row>
    <row r="697">
      <c r="B697" s="1"/>
      <c r="C697" s="1"/>
      <c r="D697" s="1"/>
    </row>
    <row r="698">
      <c r="B698" s="1"/>
      <c r="C698" s="1"/>
      <c r="D698" s="1"/>
    </row>
    <row r="699">
      <c r="B699" s="1"/>
      <c r="C699" s="1"/>
      <c r="D699" s="1"/>
    </row>
    <row r="700">
      <c r="B700" s="1"/>
      <c r="C700" s="1"/>
      <c r="D700" s="1"/>
    </row>
    <row r="701">
      <c r="B701" s="1"/>
      <c r="C701" s="1"/>
      <c r="D701" s="1"/>
    </row>
    <row r="702">
      <c r="B702" s="1"/>
      <c r="C702" s="1"/>
      <c r="D702" s="1"/>
    </row>
    <row r="703">
      <c r="B703" s="1"/>
      <c r="C703" s="1"/>
      <c r="D703" s="1"/>
    </row>
    <row r="704">
      <c r="B704" s="1"/>
      <c r="C704" s="1"/>
      <c r="D704" s="1"/>
    </row>
    <row r="705">
      <c r="B705" s="1"/>
      <c r="C705" s="1"/>
      <c r="D705" s="1"/>
    </row>
    <row r="706">
      <c r="B706" s="1"/>
      <c r="C706" s="1"/>
      <c r="D706" s="1"/>
    </row>
    <row r="707">
      <c r="B707" s="1"/>
      <c r="C707" s="1"/>
      <c r="D707" s="1"/>
    </row>
    <row r="708">
      <c r="B708" s="1"/>
      <c r="C708" s="1"/>
      <c r="D708" s="1"/>
    </row>
    <row r="709">
      <c r="B709" s="1"/>
      <c r="C709" s="1"/>
      <c r="D709" s="1"/>
    </row>
    <row r="710">
      <c r="B710" s="1"/>
      <c r="C710" s="1"/>
      <c r="D710" s="1"/>
    </row>
    <row r="711">
      <c r="B711" s="1"/>
      <c r="C711" s="1"/>
      <c r="D711" s="1"/>
    </row>
    <row r="712">
      <c r="B712" s="1"/>
      <c r="C712" s="1"/>
      <c r="D712" s="1"/>
    </row>
    <row r="713">
      <c r="B713" s="1"/>
      <c r="C713" s="1"/>
      <c r="D713" s="1"/>
    </row>
    <row r="714">
      <c r="B714" s="1"/>
      <c r="C714" s="1"/>
      <c r="D714" s="1"/>
    </row>
    <row r="715">
      <c r="B715" s="1"/>
      <c r="C715" s="1"/>
      <c r="D715" s="1"/>
    </row>
    <row r="716">
      <c r="B716" s="1"/>
      <c r="C716" s="1"/>
      <c r="D716" s="1"/>
    </row>
    <row r="717">
      <c r="B717" s="1"/>
      <c r="C717" s="1"/>
      <c r="D717" s="1"/>
    </row>
    <row r="718">
      <c r="B718" s="1"/>
      <c r="C718" s="1"/>
      <c r="D718" s="1"/>
    </row>
    <row r="719">
      <c r="B719" s="1"/>
      <c r="C719" s="1"/>
      <c r="D719" s="1"/>
    </row>
    <row r="720">
      <c r="B720" s="1"/>
      <c r="C720" s="1"/>
      <c r="D720" s="1"/>
    </row>
    <row r="721">
      <c r="B721" s="1"/>
      <c r="C721" s="1"/>
      <c r="D721" s="1"/>
    </row>
    <row r="722">
      <c r="B722" s="1"/>
      <c r="C722" s="1"/>
      <c r="D722" s="1"/>
    </row>
    <row r="723">
      <c r="B723" s="1"/>
      <c r="C723" s="1"/>
      <c r="D723" s="1"/>
    </row>
    <row r="724">
      <c r="B724" s="1"/>
      <c r="C724" s="1"/>
      <c r="D724" s="1"/>
    </row>
    <row r="725">
      <c r="B725" s="1"/>
      <c r="C725" s="1"/>
      <c r="D725" s="1"/>
    </row>
    <row r="726">
      <c r="B726" s="1"/>
      <c r="C726" s="1"/>
      <c r="D726" s="1"/>
    </row>
    <row r="727">
      <c r="B727" s="1"/>
      <c r="C727" s="1"/>
      <c r="D727" s="1"/>
    </row>
    <row r="728">
      <c r="B728" s="1"/>
      <c r="C728" s="1"/>
      <c r="D728" s="1"/>
    </row>
    <row r="729">
      <c r="B729" s="1"/>
      <c r="C729" s="1"/>
      <c r="D729" s="1"/>
    </row>
    <row r="730">
      <c r="B730" s="1"/>
      <c r="C730" s="1"/>
      <c r="D730" s="1"/>
    </row>
    <row r="731">
      <c r="B731" s="1"/>
      <c r="C731" s="1"/>
      <c r="D731" s="1"/>
    </row>
    <row r="732">
      <c r="B732" s="1"/>
      <c r="C732" s="1"/>
      <c r="D732" s="1"/>
    </row>
    <row r="733">
      <c r="B733" s="1"/>
      <c r="C733" s="1"/>
      <c r="D733" s="1"/>
    </row>
    <row r="734">
      <c r="B734" s="1"/>
      <c r="C734" s="1"/>
      <c r="D734" s="1"/>
    </row>
    <row r="735">
      <c r="B735" s="1"/>
      <c r="C735" s="1"/>
      <c r="D735" s="1"/>
    </row>
    <row r="736">
      <c r="B736" s="1"/>
      <c r="C736" s="1"/>
      <c r="D736" s="1"/>
    </row>
    <row r="737">
      <c r="B737" s="1"/>
      <c r="C737" s="1"/>
      <c r="D737" s="1"/>
    </row>
    <row r="738">
      <c r="B738" s="1"/>
      <c r="C738" s="1"/>
      <c r="D738" s="1"/>
    </row>
    <row r="739">
      <c r="B739" s="1"/>
      <c r="C739" s="1"/>
      <c r="D739" s="1"/>
    </row>
    <row r="740">
      <c r="B740" s="1"/>
      <c r="C740" s="1"/>
      <c r="D740" s="1"/>
    </row>
    <row r="741">
      <c r="B741" s="1"/>
      <c r="C741" s="1"/>
      <c r="D741" s="1"/>
    </row>
    <row r="742">
      <c r="B742" s="1"/>
      <c r="C742" s="1"/>
      <c r="D742" s="1"/>
    </row>
    <row r="743">
      <c r="B743" s="1"/>
      <c r="C743" s="1"/>
      <c r="D743" s="1"/>
    </row>
    <row r="744">
      <c r="B744" s="1"/>
      <c r="C744" s="1"/>
      <c r="D744" s="1"/>
    </row>
    <row r="745">
      <c r="B745" s="1"/>
      <c r="C745" s="1"/>
      <c r="D745" s="1"/>
    </row>
    <row r="746">
      <c r="B746" s="1"/>
      <c r="C746" s="1"/>
      <c r="D746" s="1"/>
    </row>
    <row r="747">
      <c r="B747" s="1"/>
      <c r="C747" s="1"/>
      <c r="D747" s="1"/>
    </row>
    <row r="748">
      <c r="B748" s="1"/>
      <c r="C748" s="1"/>
      <c r="D748" s="1"/>
    </row>
    <row r="749">
      <c r="B749" s="1"/>
      <c r="C749" s="1"/>
      <c r="D749" s="1"/>
    </row>
    <row r="750">
      <c r="B750" s="1"/>
      <c r="C750" s="1"/>
      <c r="D750" s="1"/>
    </row>
    <row r="751">
      <c r="B751" s="1"/>
      <c r="C751" s="1"/>
      <c r="D751" s="1"/>
    </row>
    <row r="752">
      <c r="B752" s="1"/>
      <c r="C752" s="1"/>
      <c r="D752" s="1"/>
    </row>
    <row r="753">
      <c r="B753" s="1"/>
      <c r="C753" s="1"/>
      <c r="D753" s="1"/>
    </row>
    <row r="754">
      <c r="B754" s="1"/>
      <c r="C754" s="1"/>
      <c r="D754" s="1"/>
    </row>
    <row r="755">
      <c r="B755" s="1"/>
      <c r="C755" s="1"/>
      <c r="D755" s="1"/>
    </row>
    <row r="756">
      <c r="B756" s="1"/>
      <c r="C756" s="1"/>
      <c r="D756" s="1"/>
    </row>
    <row r="757">
      <c r="B757" s="1"/>
      <c r="C757" s="1"/>
      <c r="D757" s="1"/>
    </row>
    <row r="758">
      <c r="B758" s="1"/>
      <c r="C758" s="1"/>
      <c r="D758" s="1"/>
    </row>
    <row r="759">
      <c r="B759" s="1"/>
      <c r="C759" s="1"/>
      <c r="D759" s="1"/>
    </row>
    <row r="760">
      <c r="B760" s="1"/>
      <c r="C760" s="1"/>
      <c r="D760" s="1"/>
    </row>
    <row r="761">
      <c r="B761" s="1"/>
      <c r="C761" s="1"/>
      <c r="D761" s="1"/>
    </row>
    <row r="762">
      <c r="B762" s="1"/>
      <c r="C762" s="1"/>
      <c r="D762" s="1"/>
    </row>
    <row r="763">
      <c r="B763" s="1"/>
      <c r="C763" s="1"/>
      <c r="D763" s="1"/>
    </row>
    <row r="764">
      <c r="B764" s="1"/>
      <c r="C764" s="1"/>
      <c r="D764" s="1"/>
    </row>
    <row r="765">
      <c r="B765" s="1"/>
      <c r="C765" s="1"/>
      <c r="D765" s="1"/>
    </row>
    <row r="766">
      <c r="B766" s="1"/>
      <c r="C766" s="1"/>
      <c r="D766" s="1"/>
    </row>
    <row r="767">
      <c r="B767" s="1"/>
      <c r="C767" s="1"/>
      <c r="D767" s="1"/>
    </row>
    <row r="768">
      <c r="B768" s="1"/>
      <c r="C768" s="1"/>
      <c r="D768" s="1"/>
    </row>
    <row r="769">
      <c r="B769" s="1"/>
      <c r="C769" s="1"/>
      <c r="D769" s="1"/>
    </row>
    <row r="770">
      <c r="B770" s="1"/>
      <c r="C770" s="1"/>
      <c r="D770" s="1"/>
    </row>
    <row r="771">
      <c r="B771" s="1"/>
      <c r="C771" s="1"/>
      <c r="D771" s="1"/>
    </row>
    <row r="772">
      <c r="B772" s="1"/>
      <c r="C772" s="1"/>
      <c r="D772" s="1"/>
    </row>
    <row r="773">
      <c r="B773" s="1"/>
      <c r="C773" s="1"/>
      <c r="D773" s="1"/>
    </row>
    <row r="774">
      <c r="B774" s="1"/>
      <c r="C774" s="1"/>
      <c r="D774" s="1"/>
    </row>
    <row r="775">
      <c r="B775" s="1"/>
      <c r="C775" s="1"/>
      <c r="D775" s="1"/>
    </row>
    <row r="776">
      <c r="B776" s="1"/>
      <c r="C776" s="1"/>
      <c r="D776" s="1"/>
    </row>
    <row r="777">
      <c r="B777" s="1"/>
      <c r="C777" s="1"/>
      <c r="D777" s="1"/>
    </row>
    <row r="778">
      <c r="B778" s="1"/>
      <c r="C778" s="1"/>
      <c r="D778" s="1"/>
    </row>
    <row r="779">
      <c r="B779" s="1"/>
      <c r="C779" s="1"/>
      <c r="D779" s="1"/>
    </row>
    <row r="780">
      <c r="B780" s="1"/>
      <c r="C780" s="1"/>
      <c r="D780" s="1"/>
    </row>
    <row r="781">
      <c r="B781" s="1"/>
      <c r="C781" s="1"/>
      <c r="D781" s="1"/>
    </row>
    <row r="782">
      <c r="B782" s="1"/>
      <c r="C782" s="1"/>
      <c r="D782" s="1"/>
    </row>
    <row r="783">
      <c r="B783" s="1"/>
      <c r="C783" s="1"/>
      <c r="D783" s="1"/>
    </row>
    <row r="784">
      <c r="B784" s="1"/>
      <c r="C784" s="1"/>
      <c r="D784" s="1"/>
    </row>
    <row r="785">
      <c r="B785" s="1"/>
      <c r="C785" s="1"/>
      <c r="D785" s="1"/>
    </row>
    <row r="786">
      <c r="B786" s="1"/>
      <c r="C786" s="1"/>
      <c r="D786" s="1"/>
    </row>
    <row r="787">
      <c r="B787" s="1"/>
      <c r="C787" s="1"/>
      <c r="D787" s="1"/>
    </row>
    <row r="788">
      <c r="B788" s="1"/>
      <c r="C788" s="1"/>
      <c r="D788" s="1"/>
    </row>
    <row r="789">
      <c r="B789" s="1"/>
      <c r="C789" s="1"/>
      <c r="D789" s="1"/>
    </row>
    <row r="790">
      <c r="B790" s="1"/>
      <c r="C790" s="1"/>
      <c r="D790" s="1"/>
    </row>
    <row r="791">
      <c r="B791" s="1"/>
      <c r="C791" s="1"/>
      <c r="D791" s="1"/>
    </row>
    <row r="792">
      <c r="B792" s="1"/>
      <c r="C792" s="1"/>
      <c r="D792" s="1"/>
    </row>
    <row r="793">
      <c r="B793" s="1"/>
      <c r="C793" s="1"/>
      <c r="D793" s="1"/>
    </row>
    <row r="794">
      <c r="B794" s="1"/>
      <c r="C794" s="1"/>
      <c r="D794" s="1"/>
    </row>
    <row r="795">
      <c r="B795" s="1"/>
      <c r="C795" s="1"/>
      <c r="D795" s="1"/>
    </row>
    <row r="796">
      <c r="B796" s="1"/>
      <c r="C796" s="1"/>
      <c r="D796" s="1"/>
    </row>
    <row r="797">
      <c r="B797" s="1"/>
      <c r="C797" s="1"/>
      <c r="D797" s="1"/>
    </row>
    <row r="798">
      <c r="B798" s="1"/>
      <c r="C798" s="1"/>
      <c r="D798" s="1"/>
    </row>
    <row r="799">
      <c r="B799" s="1"/>
      <c r="C799" s="1"/>
      <c r="D799" s="1"/>
    </row>
    <row r="800">
      <c r="B800" s="1"/>
      <c r="C800" s="1"/>
      <c r="D800" s="1"/>
    </row>
    <row r="801">
      <c r="B801" s="1"/>
      <c r="C801" s="1"/>
      <c r="D801" s="1"/>
    </row>
    <row r="802">
      <c r="B802" s="1"/>
      <c r="C802" s="1"/>
      <c r="D802" s="1"/>
    </row>
    <row r="803">
      <c r="B803" s="1"/>
      <c r="C803" s="1"/>
      <c r="D803" s="1"/>
    </row>
    <row r="804">
      <c r="B804" s="1"/>
      <c r="C804" s="1"/>
      <c r="D804" s="1"/>
    </row>
    <row r="805">
      <c r="B805" s="1"/>
      <c r="C805" s="1"/>
      <c r="D805" s="1"/>
    </row>
    <row r="806">
      <c r="B806" s="1"/>
      <c r="C806" s="1"/>
      <c r="D806" s="1"/>
    </row>
    <row r="807">
      <c r="B807" s="1"/>
      <c r="C807" s="1"/>
      <c r="D807" s="1"/>
    </row>
    <row r="808">
      <c r="B808" s="1"/>
      <c r="C808" s="1"/>
      <c r="D808" s="1"/>
    </row>
    <row r="809">
      <c r="B809" s="1"/>
      <c r="C809" s="1"/>
      <c r="D809" s="1"/>
    </row>
    <row r="810">
      <c r="B810" s="1"/>
      <c r="C810" s="1"/>
      <c r="D810" s="1"/>
    </row>
    <row r="811">
      <c r="B811" s="1"/>
      <c r="C811" s="1"/>
      <c r="D811" s="1"/>
    </row>
    <row r="812">
      <c r="B812" s="1"/>
      <c r="C812" s="1"/>
      <c r="D812" s="1"/>
    </row>
    <row r="813">
      <c r="B813" s="1"/>
      <c r="C813" s="1"/>
      <c r="D813" s="1"/>
    </row>
    <row r="814">
      <c r="B814" s="1"/>
      <c r="C814" s="1"/>
      <c r="D814" s="1"/>
    </row>
    <row r="815">
      <c r="B815" s="1"/>
      <c r="C815" s="1"/>
      <c r="D815" s="1"/>
    </row>
    <row r="816">
      <c r="B816" s="1"/>
      <c r="C816" s="1"/>
      <c r="D816" s="1"/>
    </row>
    <row r="817">
      <c r="B817" s="1"/>
      <c r="C817" s="1"/>
      <c r="D817" s="1"/>
    </row>
    <row r="818">
      <c r="B818" s="1"/>
      <c r="C818" s="1"/>
      <c r="D818" s="1"/>
    </row>
    <row r="819">
      <c r="B819" s="1"/>
      <c r="C819" s="1"/>
      <c r="D819" s="1"/>
    </row>
    <row r="820">
      <c r="B820" s="1"/>
      <c r="C820" s="1"/>
      <c r="D820" s="1"/>
    </row>
    <row r="821">
      <c r="B821" s="1"/>
      <c r="C821" s="1"/>
      <c r="D821" s="1"/>
    </row>
    <row r="822">
      <c r="B822" s="1"/>
      <c r="C822" s="1"/>
      <c r="D822" s="1"/>
    </row>
    <row r="823">
      <c r="B823" s="1"/>
      <c r="C823" s="1"/>
      <c r="D823" s="1"/>
    </row>
    <row r="824">
      <c r="B824" s="1"/>
      <c r="C824" s="1"/>
      <c r="D824" s="1"/>
    </row>
    <row r="825">
      <c r="B825" s="1"/>
      <c r="C825" s="1"/>
      <c r="D825" s="1"/>
    </row>
    <row r="826">
      <c r="B826" s="1"/>
      <c r="C826" s="1"/>
      <c r="D826" s="1"/>
    </row>
    <row r="827">
      <c r="B827" s="1"/>
      <c r="C827" s="1"/>
      <c r="D827" s="1"/>
    </row>
    <row r="828">
      <c r="B828" s="1"/>
      <c r="C828" s="1"/>
      <c r="D828" s="1"/>
    </row>
    <row r="829">
      <c r="B829" s="1"/>
      <c r="C829" s="1"/>
      <c r="D829" s="1"/>
    </row>
    <row r="830">
      <c r="B830" s="1"/>
      <c r="C830" s="1"/>
      <c r="D830" s="1"/>
    </row>
    <row r="831">
      <c r="B831" s="1"/>
      <c r="C831" s="1"/>
      <c r="D831" s="1"/>
    </row>
    <row r="832">
      <c r="B832" s="1"/>
      <c r="C832" s="1"/>
      <c r="D832" s="1"/>
    </row>
    <row r="833">
      <c r="B833" s="1"/>
      <c r="C833" s="1"/>
      <c r="D833" s="1"/>
    </row>
    <row r="834">
      <c r="B834" s="1"/>
      <c r="C834" s="1"/>
      <c r="D834" s="1"/>
    </row>
    <row r="835">
      <c r="B835" s="1"/>
      <c r="C835" s="1"/>
      <c r="D835" s="1"/>
    </row>
    <row r="836">
      <c r="B836" s="1"/>
      <c r="C836" s="1"/>
      <c r="D836" s="1"/>
    </row>
    <row r="837">
      <c r="B837" s="1"/>
      <c r="C837" s="1"/>
      <c r="D837" s="1"/>
    </row>
    <row r="838">
      <c r="B838" s="1"/>
      <c r="C838" s="1"/>
      <c r="D838" s="1"/>
    </row>
    <row r="839">
      <c r="B839" s="1"/>
      <c r="C839" s="1"/>
      <c r="D839" s="1"/>
    </row>
    <row r="840">
      <c r="B840" s="1"/>
      <c r="C840" s="1"/>
      <c r="D840" s="1"/>
    </row>
    <row r="841">
      <c r="B841" s="1"/>
      <c r="C841" s="1"/>
      <c r="D841" s="1"/>
    </row>
    <row r="842">
      <c r="B842" s="1"/>
      <c r="C842" s="1"/>
      <c r="D842" s="1"/>
    </row>
    <row r="843">
      <c r="B843" s="1"/>
      <c r="C843" s="1"/>
      <c r="D843" s="1"/>
    </row>
    <row r="844">
      <c r="B844" s="1"/>
      <c r="C844" s="1"/>
      <c r="D844" s="1"/>
    </row>
    <row r="845">
      <c r="B845" s="1"/>
      <c r="C845" s="1"/>
      <c r="D845" s="1"/>
    </row>
    <row r="846">
      <c r="B846" s="1"/>
      <c r="C846" s="1"/>
      <c r="D846" s="1"/>
    </row>
    <row r="847">
      <c r="B847" s="1"/>
      <c r="C847" s="1"/>
      <c r="D847" s="1"/>
    </row>
    <row r="848">
      <c r="B848" s="1"/>
      <c r="C848" s="1"/>
      <c r="D848" s="1"/>
    </row>
    <row r="849">
      <c r="B849" s="1"/>
      <c r="C849" s="1"/>
      <c r="D849" s="1"/>
    </row>
    <row r="850">
      <c r="B850" s="1"/>
      <c r="C850" s="1"/>
      <c r="D850" s="1"/>
    </row>
    <row r="851">
      <c r="B851" s="1"/>
      <c r="C851" s="1"/>
      <c r="D851" s="1"/>
    </row>
    <row r="852">
      <c r="B852" s="1"/>
      <c r="C852" s="1"/>
      <c r="D852" s="1"/>
    </row>
    <row r="853">
      <c r="B853" s="1"/>
      <c r="C853" s="1"/>
      <c r="D853" s="1"/>
    </row>
    <row r="854">
      <c r="B854" s="1"/>
      <c r="C854" s="1"/>
      <c r="D854" s="1"/>
    </row>
    <row r="855">
      <c r="B855" s="1"/>
      <c r="C855" s="1"/>
      <c r="D855" s="1"/>
    </row>
    <row r="856">
      <c r="B856" s="1"/>
      <c r="C856" s="1"/>
      <c r="D856" s="1"/>
    </row>
    <row r="857">
      <c r="B857" s="1"/>
      <c r="C857" s="1"/>
      <c r="D857" s="1"/>
    </row>
    <row r="858">
      <c r="B858" s="1"/>
      <c r="C858" s="1"/>
      <c r="D858" s="1"/>
    </row>
    <row r="859">
      <c r="B859" s="1"/>
      <c r="C859" s="1"/>
      <c r="D859" s="1"/>
    </row>
    <row r="860">
      <c r="B860" s="1"/>
      <c r="C860" s="1"/>
      <c r="D860" s="1"/>
    </row>
    <row r="861">
      <c r="B861" s="1"/>
      <c r="C861" s="1"/>
      <c r="D861" s="1"/>
    </row>
    <row r="862">
      <c r="B862" s="1"/>
      <c r="C862" s="1"/>
      <c r="D862" s="1"/>
    </row>
    <row r="863">
      <c r="B863" s="1"/>
      <c r="C863" s="1"/>
      <c r="D863" s="1"/>
    </row>
    <row r="864">
      <c r="B864" s="1"/>
      <c r="C864" s="1"/>
      <c r="D864" s="1"/>
    </row>
    <row r="865">
      <c r="B865" s="1"/>
      <c r="C865" s="1"/>
      <c r="D865" s="1"/>
    </row>
    <row r="866">
      <c r="B866" s="1"/>
      <c r="C866" s="1"/>
      <c r="D866" s="1"/>
    </row>
    <row r="867">
      <c r="B867" s="1"/>
      <c r="C867" s="1"/>
      <c r="D867" s="1"/>
    </row>
    <row r="868">
      <c r="B868" s="1"/>
      <c r="C868" s="1"/>
      <c r="D868" s="1"/>
    </row>
    <row r="869">
      <c r="B869" s="1"/>
      <c r="C869" s="1"/>
      <c r="D869" s="1"/>
    </row>
    <row r="870">
      <c r="B870" s="1"/>
      <c r="C870" s="1"/>
      <c r="D870" s="1"/>
    </row>
    <row r="871">
      <c r="B871" s="1"/>
      <c r="C871" s="1"/>
      <c r="D871" s="1"/>
    </row>
    <row r="872">
      <c r="B872" s="1"/>
      <c r="C872" s="1"/>
      <c r="D872" s="1"/>
    </row>
    <row r="873">
      <c r="B873" s="1"/>
      <c r="C873" s="1"/>
      <c r="D873" s="1"/>
    </row>
    <row r="874">
      <c r="B874" s="1"/>
      <c r="C874" s="1"/>
      <c r="D874" s="1"/>
    </row>
    <row r="875">
      <c r="B875" s="1"/>
      <c r="C875" s="1"/>
      <c r="D875" s="1"/>
    </row>
    <row r="876">
      <c r="B876" s="1"/>
      <c r="C876" s="1"/>
      <c r="D876" s="1"/>
    </row>
    <row r="877">
      <c r="B877" s="1"/>
      <c r="C877" s="1"/>
      <c r="D877" s="1"/>
    </row>
    <row r="878">
      <c r="B878" s="1"/>
      <c r="C878" s="1"/>
      <c r="D878" s="1"/>
    </row>
    <row r="879">
      <c r="B879" s="1"/>
      <c r="C879" s="1"/>
      <c r="D879" s="1"/>
    </row>
    <row r="880">
      <c r="B880" s="1"/>
      <c r="C880" s="1"/>
      <c r="D880" s="1"/>
    </row>
    <row r="881">
      <c r="B881" s="1"/>
      <c r="C881" s="1"/>
      <c r="D881" s="1"/>
    </row>
    <row r="882">
      <c r="B882" s="1"/>
      <c r="C882" s="1"/>
      <c r="D882" s="1"/>
    </row>
    <row r="883">
      <c r="B883" s="1"/>
      <c r="C883" s="1"/>
      <c r="D883" s="1"/>
    </row>
    <row r="884">
      <c r="B884" s="1"/>
      <c r="C884" s="1"/>
      <c r="D884" s="1"/>
    </row>
    <row r="885">
      <c r="B885" s="1"/>
      <c r="C885" s="1"/>
      <c r="D885" s="1"/>
    </row>
    <row r="886">
      <c r="B886" s="1"/>
      <c r="C886" s="1"/>
      <c r="D886" s="1"/>
    </row>
    <row r="887">
      <c r="B887" s="1"/>
      <c r="C887" s="1"/>
      <c r="D887" s="1"/>
    </row>
    <row r="888">
      <c r="B888" s="1"/>
      <c r="C888" s="1"/>
      <c r="D888" s="1"/>
    </row>
    <row r="889">
      <c r="B889" s="1"/>
      <c r="C889" s="1"/>
      <c r="D889" s="1"/>
    </row>
    <row r="890">
      <c r="B890" s="1"/>
      <c r="C890" s="1"/>
      <c r="D890" s="1"/>
    </row>
    <row r="891">
      <c r="B891" s="1"/>
      <c r="C891" s="1"/>
      <c r="D891" s="1"/>
    </row>
    <row r="892">
      <c r="B892" s="1"/>
      <c r="C892" s="1"/>
      <c r="D892" s="1"/>
    </row>
    <row r="893">
      <c r="B893" s="1"/>
      <c r="C893" s="1"/>
      <c r="D893" s="1"/>
    </row>
    <row r="894">
      <c r="B894" s="1"/>
      <c r="C894" s="1"/>
      <c r="D894" s="1"/>
    </row>
    <row r="895">
      <c r="B895" s="1"/>
      <c r="C895" s="1"/>
      <c r="D895" s="1"/>
    </row>
    <row r="896">
      <c r="B896" s="1"/>
      <c r="C896" s="1"/>
      <c r="D896" s="1"/>
    </row>
    <row r="897">
      <c r="B897" s="1"/>
      <c r="C897" s="1"/>
      <c r="D897" s="1"/>
    </row>
    <row r="898">
      <c r="B898" s="1"/>
      <c r="C898" s="1"/>
      <c r="D898" s="1"/>
    </row>
    <row r="899">
      <c r="B899" s="1"/>
      <c r="C899" s="1"/>
      <c r="D899" s="1"/>
    </row>
    <row r="900">
      <c r="B900" s="1"/>
      <c r="C900" s="1"/>
      <c r="D900" s="1"/>
    </row>
    <row r="901">
      <c r="B901" s="1"/>
      <c r="C901" s="1"/>
      <c r="D901" s="1"/>
    </row>
    <row r="902">
      <c r="B902" s="1"/>
      <c r="C902" s="1"/>
      <c r="D902" s="1"/>
    </row>
    <row r="903">
      <c r="B903" s="1"/>
      <c r="C903" s="1"/>
      <c r="D903" s="1"/>
    </row>
    <row r="904">
      <c r="B904" s="1"/>
      <c r="C904" s="1"/>
      <c r="D904" s="1"/>
    </row>
    <row r="905">
      <c r="B905" s="1"/>
      <c r="C905" s="1"/>
      <c r="D905" s="1"/>
    </row>
    <row r="906">
      <c r="B906" s="1"/>
      <c r="C906" s="1"/>
      <c r="D906" s="1"/>
    </row>
    <row r="907">
      <c r="B907" s="1"/>
      <c r="C907" s="1"/>
      <c r="D907" s="1"/>
    </row>
    <row r="908">
      <c r="B908" s="1"/>
      <c r="C908" s="1"/>
      <c r="D908" s="1"/>
    </row>
    <row r="909">
      <c r="B909" s="1"/>
      <c r="C909" s="1"/>
      <c r="D909" s="1"/>
    </row>
    <row r="910">
      <c r="B910" s="1"/>
      <c r="C910" s="1"/>
      <c r="D910" s="1"/>
    </row>
    <row r="911">
      <c r="B911" s="1"/>
      <c r="C911" s="1"/>
      <c r="D911" s="1"/>
    </row>
    <row r="912">
      <c r="B912" s="1"/>
      <c r="C912" s="1"/>
      <c r="D912" s="1"/>
    </row>
    <row r="913">
      <c r="B913" s="1"/>
      <c r="C913" s="1"/>
      <c r="D913" s="1"/>
    </row>
    <row r="914">
      <c r="B914" s="1"/>
      <c r="C914" s="1"/>
      <c r="D914" s="1"/>
    </row>
    <row r="915">
      <c r="B915" s="1"/>
      <c r="C915" s="1"/>
      <c r="D915" s="1"/>
    </row>
    <row r="916">
      <c r="B916" s="1"/>
      <c r="C916" s="1"/>
      <c r="D916" s="1"/>
    </row>
    <row r="917">
      <c r="B917" s="1"/>
      <c r="C917" s="1"/>
      <c r="D917" s="1"/>
    </row>
    <row r="918">
      <c r="B918" s="1"/>
      <c r="C918" s="1"/>
      <c r="D918" s="1"/>
    </row>
    <row r="919">
      <c r="B919" s="1"/>
      <c r="C919" s="1"/>
      <c r="D919" s="1"/>
    </row>
    <row r="920">
      <c r="B920" s="1"/>
      <c r="C920" s="1"/>
      <c r="D920" s="1"/>
    </row>
    <row r="921">
      <c r="B921" s="1"/>
      <c r="C921" s="1"/>
      <c r="D921" s="1"/>
    </row>
    <row r="922">
      <c r="B922" s="1"/>
      <c r="C922" s="1"/>
      <c r="D922" s="1"/>
    </row>
    <row r="923">
      <c r="B923" s="1"/>
      <c r="C923" s="1"/>
      <c r="D923" s="1"/>
    </row>
    <row r="924">
      <c r="B924" s="1"/>
      <c r="C924" s="1"/>
      <c r="D924" s="1"/>
    </row>
    <row r="925">
      <c r="B925" s="1"/>
      <c r="C925" s="1"/>
      <c r="D925" s="1"/>
    </row>
    <row r="926">
      <c r="B926" s="1"/>
      <c r="C926" s="1"/>
      <c r="D926" s="1"/>
    </row>
    <row r="927">
      <c r="B927" s="1"/>
      <c r="C927" s="1"/>
      <c r="D927" s="1"/>
    </row>
    <row r="928">
      <c r="B928" s="1"/>
      <c r="C928" s="1"/>
      <c r="D928" s="1"/>
    </row>
    <row r="929">
      <c r="B929" s="1"/>
      <c r="C929" s="1"/>
      <c r="D929" s="1"/>
    </row>
    <row r="930">
      <c r="B930" s="1"/>
      <c r="C930" s="1"/>
      <c r="D930" s="1"/>
    </row>
    <row r="931">
      <c r="B931" s="1"/>
      <c r="C931" s="1"/>
      <c r="D931" s="1"/>
    </row>
    <row r="932">
      <c r="B932" s="1"/>
      <c r="C932" s="1"/>
      <c r="D932" s="1"/>
    </row>
    <row r="933">
      <c r="B933" s="1"/>
      <c r="C933" s="1"/>
      <c r="D933" s="1"/>
    </row>
    <row r="934">
      <c r="B934" s="1"/>
      <c r="C934" s="1"/>
      <c r="D934" s="1"/>
    </row>
    <row r="935">
      <c r="B935" s="1"/>
      <c r="C935" s="1"/>
      <c r="D935" s="1"/>
    </row>
    <row r="936">
      <c r="B936" s="1"/>
      <c r="C936" s="1"/>
      <c r="D936" s="1"/>
    </row>
    <row r="937">
      <c r="B937" s="1"/>
      <c r="C937" s="1"/>
      <c r="D937" s="1"/>
    </row>
    <row r="938">
      <c r="B938" s="1"/>
      <c r="C938" s="1"/>
      <c r="D938" s="1"/>
    </row>
    <row r="939">
      <c r="B939" s="1"/>
      <c r="C939" s="1"/>
      <c r="D939" s="1"/>
    </row>
    <row r="940">
      <c r="B940" s="1"/>
      <c r="C940" s="1"/>
      <c r="D940" s="1"/>
    </row>
    <row r="941">
      <c r="B941" s="1"/>
      <c r="C941" s="1"/>
      <c r="D941" s="1"/>
    </row>
    <row r="942">
      <c r="B942" s="1"/>
      <c r="C942" s="1"/>
      <c r="D942" s="1"/>
    </row>
    <row r="943">
      <c r="B943" s="1"/>
      <c r="C943" s="1"/>
      <c r="D943" s="1"/>
    </row>
    <row r="944">
      <c r="B944" s="1"/>
      <c r="C944" s="1"/>
      <c r="D944" s="1"/>
    </row>
    <row r="945">
      <c r="B945" s="1"/>
      <c r="C945" s="1"/>
      <c r="D945" s="1"/>
    </row>
    <row r="946">
      <c r="B946" s="1"/>
      <c r="C946" s="1"/>
      <c r="D946" s="1"/>
    </row>
    <row r="947">
      <c r="B947" s="1"/>
      <c r="C947" s="1"/>
      <c r="D947" s="1"/>
    </row>
    <row r="948">
      <c r="B948" s="1"/>
      <c r="C948" s="1"/>
      <c r="D948" s="1"/>
    </row>
    <row r="949">
      <c r="B949" s="1"/>
      <c r="C949" s="1"/>
      <c r="D949" s="1"/>
    </row>
    <row r="950">
      <c r="B950" s="1"/>
      <c r="C950" s="1"/>
      <c r="D950" s="1"/>
    </row>
    <row r="951">
      <c r="B951" s="1"/>
      <c r="C951" s="1"/>
      <c r="D951" s="1"/>
    </row>
    <row r="952">
      <c r="B952" s="1"/>
      <c r="C952" s="1"/>
      <c r="D952" s="1"/>
    </row>
    <row r="953">
      <c r="B953" s="1"/>
      <c r="C953" s="1"/>
      <c r="D953" s="1"/>
    </row>
    <row r="954">
      <c r="B954" s="1"/>
      <c r="C954" s="1"/>
      <c r="D954" s="1"/>
    </row>
    <row r="955">
      <c r="B955" s="1"/>
      <c r="C955" s="1"/>
      <c r="D955" s="1"/>
    </row>
    <row r="956">
      <c r="B956" s="1"/>
      <c r="C956" s="1"/>
      <c r="D956" s="1"/>
    </row>
    <row r="957">
      <c r="B957" s="1"/>
      <c r="C957" s="1"/>
      <c r="D957" s="1"/>
    </row>
    <row r="958">
      <c r="B958" s="1"/>
      <c r="C958" s="1"/>
      <c r="D958" s="1"/>
    </row>
    <row r="959">
      <c r="B959" s="1"/>
      <c r="C959" s="1"/>
      <c r="D959" s="1"/>
    </row>
    <row r="960">
      <c r="B960" s="1"/>
      <c r="C960" s="1"/>
      <c r="D960" s="1"/>
    </row>
    <row r="961">
      <c r="B961" s="1"/>
      <c r="C961" s="1"/>
      <c r="D961" s="1"/>
    </row>
    <row r="962">
      <c r="B962" s="1"/>
      <c r="C962" s="1"/>
      <c r="D962" s="1"/>
    </row>
    <row r="963">
      <c r="B963" s="1"/>
      <c r="C963" s="1"/>
      <c r="D963" s="1"/>
    </row>
    <row r="964">
      <c r="B964" s="1"/>
      <c r="C964" s="1"/>
      <c r="D964" s="1"/>
    </row>
    <row r="965">
      <c r="B965" s="1"/>
      <c r="C965" s="1"/>
      <c r="D965" s="1"/>
    </row>
    <row r="966">
      <c r="B966" s="1"/>
      <c r="C966" s="1"/>
      <c r="D966" s="1"/>
    </row>
    <row r="967">
      <c r="B967" s="1"/>
      <c r="C967" s="1"/>
      <c r="D967" s="1"/>
    </row>
    <row r="968">
      <c r="B968" s="1"/>
      <c r="C968" s="1"/>
      <c r="D968" s="1"/>
    </row>
    <row r="969">
      <c r="B969" s="1"/>
      <c r="C969" s="1"/>
      <c r="D969" s="1"/>
    </row>
    <row r="970">
      <c r="B970" s="1"/>
      <c r="C970" s="1"/>
      <c r="D970" s="1"/>
    </row>
    <row r="971">
      <c r="B971" s="1"/>
      <c r="C971" s="1"/>
      <c r="D971" s="1"/>
    </row>
    <row r="972">
      <c r="B972" s="1"/>
      <c r="C972" s="1"/>
      <c r="D972" s="1"/>
    </row>
    <row r="973">
      <c r="B973" s="1"/>
      <c r="C973" s="1"/>
      <c r="D973" s="1"/>
    </row>
    <row r="974">
      <c r="B974" s="1"/>
      <c r="C974" s="1"/>
      <c r="D974" s="1"/>
    </row>
    <row r="975">
      <c r="B975" s="1"/>
      <c r="C975" s="1"/>
      <c r="D975" s="1"/>
    </row>
    <row r="976">
      <c r="B976" s="1"/>
      <c r="C976" s="1"/>
      <c r="D976" s="1"/>
    </row>
    <row r="977">
      <c r="B977" s="1"/>
      <c r="C977" s="1"/>
      <c r="D977" s="1"/>
    </row>
    <row r="978">
      <c r="B978" s="1"/>
      <c r="C978" s="1"/>
      <c r="D978" s="1"/>
    </row>
    <row r="979">
      <c r="B979" s="1"/>
      <c r="C979" s="1"/>
      <c r="D979" s="1"/>
    </row>
    <row r="980">
      <c r="B980" s="1"/>
      <c r="C980" s="1"/>
      <c r="D980" s="1"/>
    </row>
    <row r="981">
      <c r="B981" s="1"/>
      <c r="C981" s="1"/>
      <c r="D981" s="1"/>
    </row>
    <row r="982">
      <c r="B982" s="1"/>
      <c r="C982" s="1"/>
      <c r="D982" s="1"/>
    </row>
    <row r="983">
      <c r="B983" s="1"/>
      <c r="C983" s="1"/>
      <c r="D983" s="1"/>
    </row>
    <row r="984">
      <c r="B984" s="1"/>
      <c r="C984" s="1"/>
      <c r="D984" s="1"/>
    </row>
    <row r="985">
      <c r="B985" s="1"/>
      <c r="C985" s="1"/>
      <c r="D985" s="1"/>
    </row>
    <row r="986">
      <c r="B986" s="1"/>
      <c r="C986" s="1"/>
      <c r="D986" s="1"/>
    </row>
    <row r="987">
      <c r="B987" s="1"/>
      <c r="C987" s="1"/>
      <c r="D987" s="1"/>
    </row>
    <row r="988">
      <c r="B988" s="1"/>
      <c r="C988" s="1"/>
      <c r="D988" s="1"/>
    </row>
    <row r="989">
      <c r="B989" s="1"/>
      <c r="C989" s="1"/>
      <c r="D989" s="1"/>
    </row>
    <row r="990">
      <c r="B990" s="1"/>
      <c r="C990" s="1"/>
      <c r="D990" s="1"/>
    </row>
    <row r="991">
      <c r="B991" s="1"/>
      <c r="C991" s="1"/>
      <c r="D991" s="1"/>
    </row>
    <row r="992">
      <c r="B992" s="1"/>
      <c r="C992" s="1"/>
      <c r="D992" s="1"/>
    </row>
    <row r="993">
      <c r="B993" s="1"/>
      <c r="C993" s="1"/>
      <c r="D993" s="1"/>
    </row>
    <row r="994">
      <c r="B994" s="1"/>
      <c r="C994" s="1"/>
      <c r="D994" s="1"/>
    </row>
    <row r="995">
      <c r="B995" s="1"/>
      <c r="C995" s="1"/>
      <c r="D995" s="1"/>
    </row>
    <row r="996">
      <c r="B996" s="1"/>
      <c r="C996" s="1"/>
      <c r="D996" s="1"/>
    </row>
    <row r="997">
      <c r="B997" s="1"/>
      <c r="C997" s="1"/>
      <c r="D997" s="1"/>
    </row>
    <row r="998">
      <c r="B998" s="1"/>
      <c r="C998" s="1"/>
      <c r="D998" s="1"/>
    </row>
    <row r="999">
      <c r="B999" s="1"/>
      <c r="C999" s="1"/>
      <c r="D999" s="1"/>
    </row>
    <row r="1000">
      <c r="B1000" s="1"/>
      <c r="C1000" s="1"/>
      <c r="D1000" s="1"/>
    </row>
  </sheetData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4.25"/>
    <col customWidth="1" min="2" max="2" width="21.0"/>
    <col customWidth="1" min="3" max="3" width="19.88"/>
    <col customWidth="1" min="4" max="5" width="10.5"/>
    <col customWidth="1" min="6" max="6" width="18.5"/>
    <col customWidth="1" min="7" max="12" width="14.25"/>
    <col customWidth="1" min="13" max="14" width="14.88"/>
    <col customWidth="1" min="15" max="16" width="17.75"/>
    <col customWidth="1" min="17" max="17" width="21.0"/>
    <col customWidth="1" min="18" max="18" width="17.75"/>
  </cols>
  <sheetData>
    <row r="1">
      <c r="A1" s="5" t="s">
        <v>40</v>
      </c>
      <c r="B1" s="6" t="s">
        <v>41</v>
      </c>
      <c r="C1" s="7" t="s">
        <v>42</v>
      </c>
      <c r="D1" s="7" t="s">
        <v>43</v>
      </c>
      <c r="E1" s="7" t="s">
        <v>44</v>
      </c>
      <c r="F1" s="7" t="s">
        <v>45</v>
      </c>
      <c r="G1" s="7" t="s">
        <v>46</v>
      </c>
      <c r="H1" s="7" t="s">
        <v>47</v>
      </c>
      <c r="I1" s="7" t="s">
        <v>48</v>
      </c>
      <c r="J1" s="7" t="s">
        <v>49</v>
      </c>
      <c r="K1" s="7" t="s">
        <v>50</v>
      </c>
      <c r="L1" s="7" t="s">
        <v>51</v>
      </c>
      <c r="M1" s="8" t="s">
        <v>52</v>
      </c>
      <c r="N1" s="3" t="s">
        <v>53</v>
      </c>
      <c r="O1" s="9" t="s">
        <v>54</v>
      </c>
      <c r="P1" s="10" t="s">
        <v>55</v>
      </c>
      <c r="Q1" s="3" t="s">
        <v>56</v>
      </c>
      <c r="R1" s="3" t="s">
        <v>56</v>
      </c>
    </row>
    <row r="2">
      <c r="A2" s="11" t="s">
        <v>57</v>
      </c>
      <c r="B2" s="12">
        <v>42437.0</v>
      </c>
      <c r="C2" s="13" t="s">
        <v>58</v>
      </c>
      <c r="D2" s="14" t="s">
        <v>19</v>
      </c>
      <c r="E2" s="11" t="s">
        <v>18</v>
      </c>
      <c r="F2" s="15" t="s">
        <v>59</v>
      </c>
      <c r="G2" s="16"/>
      <c r="H2" s="7" t="s">
        <v>60</v>
      </c>
      <c r="I2" s="7" t="s">
        <v>61</v>
      </c>
      <c r="J2" s="7" t="s">
        <v>62</v>
      </c>
      <c r="K2" s="17"/>
      <c r="L2" s="17"/>
      <c r="M2" s="18">
        <v>1.5E7</v>
      </c>
      <c r="N2" s="3">
        <f>STANDARDIZE(M2,Profiling!$C$2, Profiling!$B$2)</f>
        <v>-0.6884627433</v>
      </c>
      <c r="O2" s="18">
        <v>1.083E8</v>
      </c>
      <c r="P2" s="3">
        <f>STANDARDIZE(O2,Profiling!$C$3, Profiling!$B$3)</f>
        <v>-0.2383732864</v>
      </c>
      <c r="Q2" s="19" t="s">
        <v>63</v>
      </c>
      <c r="R2" s="3">
        <f>Correl(M2:M509, O2:O509)</f>
        <v>0.759240433</v>
      </c>
    </row>
    <row r="3">
      <c r="A3" s="11" t="s">
        <v>64</v>
      </c>
      <c r="B3" s="20">
        <v>42384.0</v>
      </c>
      <c r="C3" s="13" t="s">
        <v>65</v>
      </c>
      <c r="D3" s="11" t="s">
        <v>15</v>
      </c>
      <c r="E3" s="11" t="s">
        <v>19</v>
      </c>
      <c r="F3" s="15" t="s">
        <v>66</v>
      </c>
      <c r="G3" s="16"/>
      <c r="H3" s="7" t="s">
        <v>67</v>
      </c>
      <c r="I3" s="7" t="s">
        <v>68</v>
      </c>
      <c r="J3" s="7" t="s">
        <v>69</v>
      </c>
      <c r="K3" s="7" t="s">
        <v>70</v>
      </c>
      <c r="L3" s="7" t="s">
        <v>71</v>
      </c>
      <c r="M3" s="18">
        <v>4.5E7</v>
      </c>
      <c r="N3" s="3">
        <f>STANDARDIZE(M3,Profiling!$C$2, Profiling!$B$2)</f>
        <v>-0.07868919572</v>
      </c>
      <c r="O3" s="18">
        <v>6.94E7</v>
      </c>
      <c r="P3" s="3">
        <f>STANDARDIZE(O3,Profiling!$C$3, Profiling!$B$3)</f>
        <v>-0.4506452583</v>
      </c>
      <c r="Q3" s="10" t="s">
        <v>72</v>
      </c>
      <c r="R3" s="3">
        <f>COUNT(M2:M509) - 2</f>
        <v>506</v>
      </c>
    </row>
    <row r="4">
      <c r="A4" s="11" t="s">
        <v>73</v>
      </c>
      <c r="B4" s="20">
        <v>41488.0</v>
      </c>
      <c r="C4" s="13" t="s">
        <v>74</v>
      </c>
      <c r="D4" s="11" t="s">
        <v>15</v>
      </c>
      <c r="E4" s="11" t="s">
        <v>25</v>
      </c>
      <c r="F4" s="15" t="s">
        <v>75</v>
      </c>
      <c r="G4" s="16"/>
      <c r="H4" s="7" t="s">
        <v>76</v>
      </c>
      <c r="I4" s="7" t="s">
        <v>77</v>
      </c>
      <c r="J4" s="7" t="s">
        <v>78</v>
      </c>
      <c r="K4" s="7" t="s">
        <v>79</v>
      </c>
      <c r="L4" s="7" t="s">
        <v>80</v>
      </c>
      <c r="M4" s="18">
        <v>6.1E7</v>
      </c>
      <c r="N4" s="3">
        <f>STANDARDIZE(M4,Profiling!$C$2, Profiling!$B$2)</f>
        <v>0.246523363</v>
      </c>
      <c r="O4" s="18">
        <v>1.319E8</v>
      </c>
      <c r="P4" s="3">
        <f>STANDARDIZE(O4,Profiling!$C$3, Profiling!$B$3)</f>
        <v>-0.1095913189</v>
      </c>
      <c r="Q4" s="10" t="s">
        <v>81</v>
      </c>
      <c r="R4" s="21">
        <v>1.0E-4</v>
      </c>
    </row>
    <row r="5">
      <c r="A5" s="11" t="s">
        <v>82</v>
      </c>
      <c r="B5" s="20">
        <v>40984.0</v>
      </c>
      <c r="C5" s="13" t="s">
        <v>83</v>
      </c>
      <c r="D5" s="11" t="s">
        <v>17</v>
      </c>
      <c r="E5" s="11" t="s">
        <v>15</v>
      </c>
      <c r="F5" s="15" t="s">
        <v>84</v>
      </c>
      <c r="G5" s="15" t="s">
        <v>85</v>
      </c>
      <c r="H5" s="7" t="s">
        <v>86</v>
      </c>
      <c r="I5" s="7" t="s">
        <v>87</v>
      </c>
      <c r="J5" s="7" t="s">
        <v>88</v>
      </c>
      <c r="K5" s="7" t="s">
        <v>89</v>
      </c>
      <c r="L5" s="7" t="s">
        <v>90</v>
      </c>
      <c r="M5" s="18">
        <v>5.5E7</v>
      </c>
      <c r="N5" s="3">
        <f>STANDARDIZE(M5,Profiling!$C$2, Profiling!$B$2)</f>
        <v>0.1245686535</v>
      </c>
      <c r="O5" s="18">
        <v>2.015E8</v>
      </c>
      <c r="P5" s="3">
        <f>STANDARDIZE(O5,Profiling!$C$3, Profiling!$B$3)</f>
        <v>0.2702063481</v>
      </c>
      <c r="Q5" s="3"/>
      <c r="R5" s="3"/>
    </row>
    <row r="6">
      <c r="A6" s="11" t="s">
        <v>91</v>
      </c>
      <c r="B6" s="20">
        <v>41794.0</v>
      </c>
      <c r="C6" s="13" t="s">
        <v>92</v>
      </c>
      <c r="D6" s="11" t="s">
        <v>15</v>
      </c>
      <c r="E6" s="11" t="s">
        <v>17</v>
      </c>
      <c r="F6" s="15" t="s">
        <v>84</v>
      </c>
      <c r="G6" s="15" t="s">
        <v>85</v>
      </c>
      <c r="H6" s="7" t="s">
        <v>87</v>
      </c>
      <c r="I6" s="7" t="s">
        <v>86</v>
      </c>
      <c r="J6" s="7" t="s">
        <v>88</v>
      </c>
      <c r="K6" s="17"/>
      <c r="L6" s="17"/>
      <c r="M6" s="18">
        <v>8.45E7</v>
      </c>
      <c r="N6" s="3">
        <f>STANDARDIZE(M6,Profiling!$C$2, Profiling!$B$2)</f>
        <v>0.7241793086</v>
      </c>
      <c r="O6" s="18">
        <v>3.313E8</v>
      </c>
      <c r="P6" s="3">
        <f>STANDARDIZE(O6,Profiling!$C$3, Profiling!$B$3)</f>
        <v>0.9785071695</v>
      </c>
      <c r="Q6" s="3"/>
      <c r="R6" s="3"/>
    </row>
    <row r="7">
      <c r="A7" s="11" t="s">
        <v>93</v>
      </c>
      <c r="B7" s="20">
        <v>41702.0</v>
      </c>
      <c r="C7" s="13" t="s">
        <v>94</v>
      </c>
      <c r="D7" s="11" t="s">
        <v>15</v>
      </c>
      <c r="E7" s="11" t="s">
        <v>13</v>
      </c>
      <c r="F7" s="15" t="s">
        <v>95</v>
      </c>
      <c r="G7" s="16"/>
      <c r="H7" s="7" t="s">
        <v>96</v>
      </c>
      <c r="I7" s="7" t="s">
        <v>97</v>
      </c>
      <c r="J7" s="7" t="s">
        <v>98</v>
      </c>
      <c r="K7" s="7" t="s">
        <v>99</v>
      </c>
      <c r="L7" s="7" t="s">
        <v>100</v>
      </c>
      <c r="M7" s="18">
        <v>1.1E8</v>
      </c>
      <c r="N7" s="3">
        <f>STANDARDIZE(M7,Profiling!$C$2, Profiling!$B$2)</f>
        <v>1.242486824</v>
      </c>
      <c r="O7" s="18">
        <v>3.376E8</v>
      </c>
      <c r="P7" s="3">
        <f>STANDARDIZE(O7,Profiling!$C$3, Profiling!$B$3)</f>
        <v>1.012885407</v>
      </c>
      <c r="Q7" s="3"/>
      <c r="R7" s="3"/>
    </row>
    <row r="8">
      <c r="A8" s="22" t="s">
        <v>101</v>
      </c>
      <c r="B8" s="20">
        <v>41376.0</v>
      </c>
      <c r="C8" s="13" t="s">
        <v>102</v>
      </c>
      <c r="D8" s="11" t="s">
        <v>24</v>
      </c>
      <c r="E8" s="11" t="s">
        <v>20</v>
      </c>
      <c r="F8" s="15" t="s">
        <v>103</v>
      </c>
      <c r="G8" s="16"/>
      <c r="H8" s="7" t="s">
        <v>104</v>
      </c>
      <c r="I8" s="7" t="s">
        <v>105</v>
      </c>
      <c r="J8" s="7" t="s">
        <v>106</v>
      </c>
      <c r="K8" s="7" t="s">
        <v>107</v>
      </c>
      <c r="L8" s="7" t="s">
        <v>108</v>
      </c>
      <c r="M8" s="18">
        <v>4.0E7</v>
      </c>
      <c r="N8" s="3">
        <f>STANDARDIZE(M8,Profiling!$C$2, Profiling!$B$2)</f>
        <v>-0.1803181203</v>
      </c>
      <c r="O8" s="18">
        <v>9.75E7</v>
      </c>
      <c r="P8" s="3">
        <f>STANDARDIZE(O8,Profiling!$C$3, Profiling!$B$3)</f>
        <v>-0.2973074072</v>
      </c>
      <c r="Q8" s="3"/>
      <c r="R8" s="3"/>
    </row>
    <row r="9">
      <c r="A9" s="23" t="s">
        <v>109</v>
      </c>
      <c r="B9" s="20">
        <v>41677.0</v>
      </c>
      <c r="C9" s="13" t="s">
        <v>110</v>
      </c>
      <c r="D9" s="11" t="s">
        <v>15</v>
      </c>
      <c r="E9" s="11" t="s">
        <v>20</v>
      </c>
      <c r="F9" s="15" t="s">
        <v>111</v>
      </c>
      <c r="G9" s="24"/>
      <c r="H9" s="7" t="s">
        <v>112</v>
      </c>
      <c r="I9" s="7" t="s">
        <v>113</v>
      </c>
      <c r="J9" s="7" t="s">
        <v>114</v>
      </c>
      <c r="K9" s="7" t="s">
        <v>115</v>
      </c>
      <c r="L9" s="17"/>
      <c r="M9" s="18">
        <v>8100000.0</v>
      </c>
      <c r="N9" s="3">
        <f>STANDARDIZE(M9,Profiling!$C$2, Profiling!$B$2)</f>
        <v>-0.8287106592</v>
      </c>
      <c r="O9" s="18">
        <v>2900000.0</v>
      </c>
      <c r="P9" s="3">
        <f>STANDARDIZE(O9,Profiling!$C$3, Profiling!$B$3)</f>
        <v>-0.8135266499</v>
      </c>
      <c r="Q9" s="3"/>
      <c r="R9" s="3"/>
    </row>
    <row r="10">
      <c r="A10" s="11" t="s">
        <v>116</v>
      </c>
      <c r="B10" s="20">
        <v>42258.0</v>
      </c>
      <c r="C10" s="13" t="s">
        <v>117</v>
      </c>
      <c r="D10" s="11" t="s">
        <v>20</v>
      </c>
      <c r="E10" s="17"/>
      <c r="F10" s="15" t="s">
        <v>118</v>
      </c>
      <c r="G10" s="16"/>
      <c r="H10" s="7" t="s">
        <v>119</v>
      </c>
      <c r="I10" s="7" t="s">
        <v>120</v>
      </c>
      <c r="J10" s="7" t="s">
        <v>121</v>
      </c>
      <c r="K10" s="7" t="s">
        <v>122</v>
      </c>
      <c r="L10" s="17"/>
      <c r="M10" s="18">
        <v>5000000.0</v>
      </c>
      <c r="N10" s="3">
        <f>STANDARDIZE(M10,Profiling!$C$2, Profiling!$B$2)</f>
        <v>-0.8917205925</v>
      </c>
      <c r="O10" s="18">
        <v>4800000.0</v>
      </c>
      <c r="P10" s="3">
        <f>STANDARDIZE(O10,Profiling!$C$3, Profiling!$B$3)</f>
        <v>-0.8031586101</v>
      </c>
      <c r="Q10" s="3"/>
      <c r="R10" s="3"/>
    </row>
    <row r="11">
      <c r="A11" s="11" t="s">
        <v>123</v>
      </c>
      <c r="B11" s="20">
        <v>41319.0</v>
      </c>
      <c r="C11" s="13" t="s">
        <v>124</v>
      </c>
      <c r="D11" s="11" t="s">
        <v>15</v>
      </c>
      <c r="E11" s="11" t="s">
        <v>19</v>
      </c>
      <c r="F11" s="15" t="s">
        <v>125</v>
      </c>
      <c r="G11" s="16"/>
      <c r="H11" s="7" t="s">
        <v>126</v>
      </c>
      <c r="I11" s="7" t="s">
        <v>127</v>
      </c>
      <c r="J11" s="7" t="s">
        <v>128</v>
      </c>
      <c r="K11" s="7" t="s">
        <v>129</v>
      </c>
      <c r="L11" s="7" t="s">
        <v>130</v>
      </c>
      <c r="M11" s="18">
        <v>9.2E7</v>
      </c>
      <c r="N11" s="3">
        <f>STANDARDIZE(M11,Profiling!$C$2, Profiling!$B$2)</f>
        <v>0.8766226955</v>
      </c>
      <c r="O11" s="18">
        <v>3.047E8</v>
      </c>
      <c r="P11" s="3">
        <f>STANDARDIZE(O11,Profiling!$C$3, Profiling!$B$3)</f>
        <v>0.8333546129</v>
      </c>
      <c r="Q11" s="3"/>
      <c r="R11" s="3"/>
    </row>
    <row r="12">
      <c r="A12" s="11" t="s">
        <v>131</v>
      </c>
      <c r="B12" s="20">
        <v>41285.0</v>
      </c>
      <c r="C12" s="13" t="s">
        <v>132</v>
      </c>
      <c r="D12" s="11" t="s">
        <v>17</v>
      </c>
      <c r="E12" s="11" t="s">
        <v>18</v>
      </c>
      <c r="F12" s="15" t="s">
        <v>133</v>
      </c>
      <c r="G12" s="16"/>
      <c r="H12" s="7" t="s">
        <v>134</v>
      </c>
      <c r="I12" s="7" t="s">
        <v>135</v>
      </c>
      <c r="J12" s="7" t="s">
        <v>136</v>
      </c>
      <c r="K12" s="7" t="s">
        <v>137</v>
      </c>
      <c r="L12" s="7" t="s">
        <v>138</v>
      </c>
      <c r="M12" s="18">
        <v>2500000.0</v>
      </c>
      <c r="N12" s="3">
        <f>STANDARDIZE(M12,Profiling!$C$2, Profiling!$B$2)</f>
        <v>-0.9425350548</v>
      </c>
      <c r="O12" s="18">
        <v>6.01E7</v>
      </c>
      <c r="P12" s="3">
        <f>STANDARDIZE(O12,Profiling!$C$3, Profiling!$B$3)</f>
        <v>-0.5013940845</v>
      </c>
      <c r="Q12" s="3"/>
      <c r="R12" s="3"/>
    </row>
    <row r="13">
      <c r="A13" s="11" t="s">
        <v>139</v>
      </c>
      <c r="B13" s="20">
        <v>41747.0</v>
      </c>
      <c r="C13" s="13" t="s">
        <v>140</v>
      </c>
      <c r="D13" s="11" t="s">
        <v>17</v>
      </c>
      <c r="E13" s="17"/>
      <c r="F13" s="15" t="s">
        <v>133</v>
      </c>
      <c r="G13" s="16"/>
      <c r="H13" s="7" t="s">
        <v>134</v>
      </c>
      <c r="I13" s="7" t="s">
        <v>141</v>
      </c>
      <c r="J13" s="7" t="s">
        <v>137</v>
      </c>
      <c r="K13" s="7" t="s">
        <v>138</v>
      </c>
      <c r="L13" s="7" t="s">
        <v>142</v>
      </c>
      <c r="M13" s="18">
        <v>4000000.0</v>
      </c>
      <c r="N13" s="3">
        <f>STANDARDIZE(M13,Profiling!$C$2, Profiling!$B$2)</f>
        <v>-0.9120463774</v>
      </c>
      <c r="O13" s="18">
        <v>2.4E7</v>
      </c>
      <c r="P13" s="3">
        <f>STANDARDIZE(O13,Profiling!$C$3, Profiling!$B$3)</f>
        <v>-0.6983868399</v>
      </c>
      <c r="Q13" s="3"/>
      <c r="R13" s="3"/>
    </row>
    <row r="14">
      <c r="A14" s="11" t="s">
        <v>143</v>
      </c>
      <c r="B14" s="20">
        <v>41680.0</v>
      </c>
      <c r="C14" s="13" t="s">
        <v>144</v>
      </c>
      <c r="D14" s="11" t="s">
        <v>17</v>
      </c>
      <c r="E14" s="17"/>
      <c r="F14" s="15" t="s">
        <v>145</v>
      </c>
      <c r="G14" s="16"/>
      <c r="H14" s="7" t="s">
        <v>146</v>
      </c>
      <c r="I14" s="7" t="s">
        <v>147</v>
      </c>
      <c r="J14" s="7" t="s">
        <v>148</v>
      </c>
      <c r="K14" s="7" t="s">
        <v>149</v>
      </c>
      <c r="L14" s="17"/>
      <c r="M14" s="18">
        <v>2.27E7</v>
      </c>
      <c r="N14" s="3">
        <f>STANDARDIZE(M14,Profiling!$C$2, Profiling!$B$2)</f>
        <v>-0.5319541994</v>
      </c>
      <c r="O14" s="18">
        <v>7100000.0</v>
      </c>
      <c r="P14" s="3">
        <f>STANDARDIZE(O14,Profiling!$C$3, Profiling!$B$3)</f>
        <v>-0.7906078252</v>
      </c>
      <c r="Q14" s="3"/>
      <c r="R14" s="3"/>
    </row>
    <row r="15">
      <c r="A15" s="11" t="s">
        <v>150</v>
      </c>
      <c r="B15" s="20">
        <v>41949.0</v>
      </c>
      <c r="C15" s="13" t="s">
        <v>151</v>
      </c>
      <c r="D15" s="11" t="s">
        <v>15</v>
      </c>
      <c r="E15" s="11" t="s">
        <v>25</v>
      </c>
      <c r="F15" s="15" t="s">
        <v>152</v>
      </c>
      <c r="G15" s="16"/>
      <c r="H15" s="7" t="s">
        <v>153</v>
      </c>
      <c r="I15" s="7" t="s">
        <v>154</v>
      </c>
      <c r="J15" s="7" t="s">
        <v>155</v>
      </c>
      <c r="K15" s="7" t="s">
        <v>156</v>
      </c>
      <c r="L15" s="7" t="s">
        <v>157</v>
      </c>
      <c r="M15" s="18">
        <v>2.0E7</v>
      </c>
      <c r="N15" s="3">
        <f>STANDARDIZE(M15,Profiling!$C$2, Profiling!$B$2)</f>
        <v>-0.5868338187</v>
      </c>
      <c r="O15" s="18">
        <v>1.2E7</v>
      </c>
      <c r="P15" s="3">
        <f>STANDARDIZE(O15,Profiling!$C$3, Profiling!$B$3)</f>
        <v>-0.7638691963</v>
      </c>
      <c r="Q15" s="3"/>
      <c r="R15" s="3"/>
    </row>
    <row r="16">
      <c r="A16" s="11" t="s">
        <v>158</v>
      </c>
      <c r="B16" s="20">
        <v>41658.0</v>
      </c>
      <c r="C16" s="13" t="s">
        <v>159</v>
      </c>
      <c r="D16" s="11" t="s">
        <v>19</v>
      </c>
      <c r="E16" s="17"/>
      <c r="F16" s="15" t="s">
        <v>160</v>
      </c>
      <c r="G16" s="16"/>
      <c r="H16" s="7" t="s">
        <v>161</v>
      </c>
      <c r="I16" s="7" t="s">
        <v>162</v>
      </c>
      <c r="J16" s="7" t="s">
        <v>163</v>
      </c>
      <c r="K16" s="7" t="s">
        <v>164</v>
      </c>
      <c r="L16" s="7" t="s">
        <v>165</v>
      </c>
      <c r="M16" s="18">
        <v>1.5E7</v>
      </c>
      <c r="N16" s="3">
        <f>STANDARDIZE(M16,Profiling!$C$2, Profiling!$B$2)</f>
        <v>-0.6884627433</v>
      </c>
      <c r="O16" s="18">
        <v>3.62E7</v>
      </c>
      <c r="P16" s="3">
        <f>STANDARDIZE(O16,Profiling!$C$3, Profiling!$B$3)</f>
        <v>-0.631813111</v>
      </c>
      <c r="Q16" s="3"/>
      <c r="R16" s="3"/>
    </row>
    <row r="17">
      <c r="A17" s="11" t="s">
        <v>166</v>
      </c>
      <c r="B17" s="20">
        <v>40977.0</v>
      </c>
      <c r="C17" s="13" t="s">
        <v>167</v>
      </c>
      <c r="D17" s="11" t="s">
        <v>17</v>
      </c>
      <c r="E17" s="17"/>
      <c r="F17" s="15" t="s">
        <v>168</v>
      </c>
      <c r="G17" s="16"/>
      <c r="H17" s="7" t="s">
        <v>169</v>
      </c>
      <c r="I17" s="7" t="s">
        <v>170</v>
      </c>
      <c r="J17" s="7" t="s">
        <v>171</v>
      </c>
      <c r="K17" s="7" t="s">
        <v>172</v>
      </c>
      <c r="L17" s="7" t="s">
        <v>173</v>
      </c>
      <c r="M17" s="18">
        <v>4.0E7</v>
      </c>
      <c r="N17" s="3">
        <f>STANDARDIZE(M17,Profiling!$C$2, Profiling!$B$2)</f>
        <v>-0.1803181203</v>
      </c>
      <c r="O17" s="18">
        <v>2.2E7</v>
      </c>
      <c r="P17" s="3">
        <f>STANDARDIZE(O17,Profiling!$C$3, Profiling!$B$3)</f>
        <v>-0.709300566</v>
      </c>
      <c r="Q17" s="3"/>
      <c r="R17" s="3"/>
    </row>
    <row r="18">
      <c r="A18" s="11" t="s">
        <v>174</v>
      </c>
      <c r="B18" s="20">
        <v>41901.0</v>
      </c>
      <c r="C18" s="13" t="s">
        <v>175</v>
      </c>
      <c r="D18" s="11" t="s">
        <v>25</v>
      </c>
      <c r="E18" s="11" t="s">
        <v>20</v>
      </c>
      <c r="F18" s="15" t="s">
        <v>176</v>
      </c>
      <c r="G18" s="16"/>
      <c r="H18" s="7" t="s">
        <v>177</v>
      </c>
      <c r="I18" s="7" t="s">
        <v>178</v>
      </c>
      <c r="J18" s="7" t="s">
        <v>179</v>
      </c>
      <c r="K18" s="7" t="s">
        <v>180</v>
      </c>
      <c r="L18" s="17"/>
      <c r="M18" s="18">
        <v>2.8E7</v>
      </c>
      <c r="N18" s="3">
        <f>STANDARDIZE(M18,Profiling!$C$2, Profiling!$B$2)</f>
        <v>-0.4242275393</v>
      </c>
      <c r="O18" s="18">
        <v>5.88E7</v>
      </c>
      <c r="P18" s="3">
        <f>STANDARDIZE(O18,Profiling!$C$3, Profiling!$B$3)</f>
        <v>-0.5084880065</v>
      </c>
      <c r="Q18" s="3"/>
      <c r="R18" s="3"/>
    </row>
    <row r="19">
      <c r="A19" s="11" t="s">
        <v>181</v>
      </c>
      <c r="B19" s="20">
        <v>42027.0</v>
      </c>
      <c r="C19" s="13" t="s">
        <v>182</v>
      </c>
      <c r="D19" s="11" t="s">
        <v>10</v>
      </c>
      <c r="E19" s="11" t="s">
        <v>17</v>
      </c>
      <c r="F19" s="15" t="s">
        <v>183</v>
      </c>
      <c r="G19" s="16"/>
      <c r="H19" s="7" t="s">
        <v>184</v>
      </c>
      <c r="I19" s="7" t="s">
        <v>185</v>
      </c>
      <c r="J19" s="7" t="s">
        <v>186</v>
      </c>
      <c r="K19" s="17"/>
      <c r="L19" s="17"/>
      <c r="M19" s="18">
        <v>8000000.0</v>
      </c>
      <c r="N19" s="3">
        <f>STANDARDIZE(M19,Profiling!$C$2, Profiling!$B$2)</f>
        <v>-0.8307432377</v>
      </c>
      <c r="O19" s="18">
        <v>3.6E7</v>
      </c>
      <c r="P19" s="3">
        <f>STANDARDIZE(O19,Profiling!$C$3, Profiling!$B$3)</f>
        <v>-0.6329044836</v>
      </c>
      <c r="Q19" s="3"/>
      <c r="R19" s="3"/>
    </row>
    <row r="20">
      <c r="A20" s="11" t="s">
        <v>187</v>
      </c>
      <c r="B20" s="20">
        <v>41082.0</v>
      </c>
      <c r="C20" s="13" t="s">
        <v>188</v>
      </c>
      <c r="D20" s="11" t="s">
        <v>18</v>
      </c>
      <c r="E20" s="11" t="s">
        <v>15</v>
      </c>
      <c r="F20" s="15" t="s">
        <v>189</v>
      </c>
      <c r="G20" s="16"/>
      <c r="H20" s="7" t="s">
        <v>190</v>
      </c>
      <c r="I20" s="7" t="s">
        <v>191</v>
      </c>
      <c r="J20" s="7" t="s">
        <v>192</v>
      </c>
      <c r="K20" s="7" t="s">
        <v>60</v>
      </c>
      <c r="L20" s="7" t="s">
        <v>193</v>
      </c>
      <c r="M20" s="18">
        <v>9.95E7</v>
      </c>
      <c r="N20" s="3">
        <f>STANDARDIZE(M20,Profiling!$C$2, Profiling!$B$2)</f>
        <v>1.029066082</v>
      </c>
      <c r="O20" s="18">
        <v>1.164E8</v>
      </c>
      <c r="P20" s="3">
        <f>STANDARDIZE(O20,Profiling!$C$3, Profiling!$B$3)</f>
        <v>-0.1941726959</v>
      </c>
      <c r="Q20" s="3"/>
      <c r="R20" s="3"/>
    </row>
    <row r="21">
      <c r="A21" s="11" t="s">
        <v>194</v>
      </c>
      <c r="B21" s="20">
        <v>41425.0</v>
      </c>
      <c r="C21" s="13" t="s">
        <v>195</v>
      </c>
      <c r="D21" s="11" t="s">
        <v>14</v>
      </c>
      <c r="E21" s="17"/>
      <c r="F21" s="15" t="s">
        <v>196</v>
      </c>
      <c r="G21" s="16"/>
      <c r="H21" s="7" t="s">
        <v>197</v>
      </c>
      <c r="I21" s="7" t="s">
        <v>198</v>
      </c>
      <c r="J21" s="7" t="s">
        <v>199</v>
      </c>
      <c r="K21" s="7" t="s">
        <v>200</v>
      </c>
      <c r="L21" s="17"/>
      <c r="M21" s="18">
        <v>1.3E8</v>
      </c>
      <c r="N21" s="3">
        <f>STANDARDIZE(M21,Profiling!$C$2, Profiling!$B$2)</f>
        <v>1.649002522</v>
      </c>
      <c r="O21" s="18">
        <v>2.438E8</v>
      </c>
      <c r="P21" s="3">
        <f>STANDARDIZE(O21,Profiling!$C$3, Profiling!$B$3)</f>
        <v>0.5010316543</v>
      </c>
      <c r="Q21" s="3"/>
      <c r="R21" s="3"/>
    </row>
    <row r="22">
      <c r="A22" s="11" t="s">
        <v>201</v>
      </c>
      <c r="B22" s="20">
        <v>41502.0</v>
      </c>
      <c r="C22" s="13" t="s">
        <v>202</v>
      </c>
      <c r="D22" s="25" t="s">
        <v>20</v>
      </c>
      <c r="E22" s="11"/>
      <c r="F22" s="15" t="s">
        <v>203</v>
      </c>
      <c r="G22" s="16"/>
      <c r="H22" s="7" t="s">
        <v>204</v>
      </c>
      <c r="I22" s="7" t="s">
        <v>205</v>
      </c>
      <c r="J22" s="7" t="s">
        <v>206</v>
      </c>
      <c r="K22" s="7" t="s">
        <v>207</v>
      </c>
      <c r="L22" s="7" t="s">
        <v>208</v>
      </c>
      <c r="M22" s="18">
        <v>4000000.0</v>
      </c>
      <c r="N22" s="3">
        <f>STANDARDIZE(M22,Profiling!$C$2, Profiling!$B$2)</f>
        <v>-0.9120463774</v>
      </c>
      <c r="O22" s="18">
        <v>1000000.0</v>
      </c>
      <c r="P22" s="3">
        <f>STANDARDIZE(O22,Profiling!$C$3, Profiling!$B$3)</f>
        <v>-0.8238946897</v>
      </c>
      <c r="Q22" s="3"/>
      <c r="R22" s="3"/>
    </row>
    <row r="23">
      <c r="A23" s="11" t="s">
        <v>209</v>
      </c>
      <c r="B23" s="20">
        <v>41201.0</v>
      </c>
      <c r="C23" s="13" t="s">
        <v>210</v>
      </c>
      <c r="D23" s="11" t="s">
        <v>25</v>
      </c>
      <c r="E23" s="11" t="s">
        <v>15</v>
      </c>
      <c r="F23" s="15" t="s">
        <v>211</v>
      </c>
      <c r="G23" s="16"/>
      <c r="H23" s="7" t="s">
        <v>212</v>
      </c>
      <c r="I23" s="7" t="s">
        <v>213</v>
      </c>
      <c r="J23" s="7" t="s">
        <v>214</v>
      </c>
      <c r="K23" s="7" t="s">
        <v>215</v>
      </c>
      <c r="L23" s="7" t="s">
        <v>216</v>
      </c>
      <c r="M23" s="18">
        <v>3.5E7</v>
      </c>
      <c r="N23" s="3">
        <f>STANDARDIZE(M23,Profiling!$C$2, Profiling!$B$2)</f>
        <v>-0.2819470449</v>
      </c>
      <c r="O23" s="18">
        <v>3.46E7</v>
      </c>
      <c r="P23" s="3">
        <f>STANDARDIZE(O23,Profiling!$C$3, Profiling!$B$3)</f>
        <v>-0.6405440918</v>
      </c>
      <c r="Q23" s="3"/>
      <c r="R23" s="3"/>
    </row>
    <row r="24">
      <c r="A24" s="11" t="s">
        <v>217</v>
      </c>
      <c r="B24" s="20">
        <v>42151.0</v>
      </c>
      <c r="C24" s="13" t="s">
        <v>218</v>
      </c>
      <c r="D24" s="11" t="s">
        <v>22</v>
      </c>
      <c r="E24" s="11" t="s">
        <v>17</v>
      </c>
      <c r="F24" s="15" t="s">
        <v>219</v>
      </c>
      <c r="G24" s="16"/>
      <c r="H24" s="7" t="s">
        <v>220</v>
      </c>
      <c r="I24" s="7" t="s">
        <v>221</v>
      </c>
      <c r="J24" s="7" t="s">
        <v>222</v>
      </c>
      <c r="K24" s="7" t="s">
        <v>162</v>
      </c>
      <c r="L24" s="7" t="s">
        <v>223</v>
      </c>
      <c r="M24" s="18">
        <v>5.2E7</v>
      </c>
      <c r="N24" s="3">
        <f>STANDARDIZE(M24,Profiling!$C$2, Profiling!$B$2)</f>
        <v>0.06359129871</v>
      </c>
      <c r="O24" s="18">
        <v>2.63E7</v>
      </c>
      <c r="P24" s="3">
        <f>STANDARDIZE(O24,Profiling!$C$3, Profiling!$B$3)</f>
        <v>-0.685836055</v>
      </c>
      <c r="Q24" s="3"/>
      <c r="R24" s="3"/>
    </row>
    <row r="25">
      <c r="A25" s="11" t="s">
        <v>224</v>
      </c>
      <c r="B25" s="20">
        <v>42356.0</v>
      </c>
      <c r="C25" s="13" t="s">
        <v>225</v>
      </c>
      <c r="D25" s="11" t="s">
        <v>17</v>
      </c>
      <c r="E25" s="11" t="s">
        <v>11</v>
      </c>
      <c r="F25" s="15" t="s">
        <v>226</v>
      </c>
      <c r="G25" s="16"/>
      <c r="H25" s="7" t="s">
        <v>227</v>
      </c>
      <c r="I25" s="7" t="s">
        <v>228</v>
      </c>
      <c r="J25" s="7" t="s">
        <v>229</v>
      </c>
      <c r="K25" s="7" t="s">
        <v>230</v>
      </c>
      <c r="L25" s="7" t="s">
        <v>231</v>
      </c>
      <c r="M25" s="18">
        <v>9.0E7</v>
      </c>
      <c r="N25" s="3">
        <f>STANDARDIZE(M25,Profiling!$C$2, Profiling!$B$2)</f>
        <v>0.8359711256</v>
      </c>
      <c r="O25" s="18">
        <v>2.348E8</v>
      </c>
      <c r="P25" s="3">
        <f>STANDARDIZE(O25,Profiling!$C$3, Profiling!$B$3)</f>
        <v>0.451919887</v>
      </c>
      <c r="Q25" s="3"/>
      <c r="R25" s="3"/>
    </row>
    <row r="26">
      <c r="A26" s="11" t="s">
        <v>232</v>
      </c>
      <c r="B26" s="20">
        <v>41005.0</v>
      </c>
      <c r="C26" s="13" t="s">
        <v>233</v>
      </c>
      <c r="D26" s="11" t="s">
        <v>17</v>
      </c>
      <c r="E26" s="17"/>
      <c r="F26" s="15" t="s">
        <v>234</v>
      </c>
      <c r="G26" s="16"/>
      <c r="H26" s="7" t="s">
        <v>235</v>
      </c>
      <c r="I26" s="7" t="s">
        <v>236</v>
      </c>
      <c r="J26" s="7" t="s">
        <v>237</v>
      </c>
      <c r="K26" s="7" t="s">
        <v>238</v>
      </c>
      <c r="L26" s="7" t="s">
        <v>239</v>
      </c>
      <c r="M26" s="18">
        <v>5.0E7</v>
      </c>
      <c r="N26" s="3">
        <f>STANDARDIZE(M26,Profiling!$C$2, Profiling!$B$2)</f>
        <v>0.02293972887</v>
      </c>
      <c r="O26" s="18">
        <v>2.35E8</v>
      </c>
      <c r="P26" s="3">
        <f>STANDARDIZE(O26,Profiling!$C$3, Profiling!$B$3)</f>
        <v>0.4530112596</v>
      </c>
      <c r="Q26" s="3"/>
      <c r="R26" s="3"/>
    </row>
    <row r="27">
      <c r="A27" s="11" t="s">
        <v>240</v>
      </c>
      <c r="B27" s="20">
        <v>41954.0</v>
      </c>
      <c r="C27" s="13" t="s">
        <v>241</v>
      </c>
      <c r="D27" s="25" t="s">
        <v>20</v>
      </c>
      <c r="E27" s="11"/>
      <c r="F27" s="15" t="s">
        <v>242</v>
      </c>
      <c r="G27" s="16"/>
      <c r="H27" s="7" t="s">
        <v>220</v>
      </c>
      <c r="I27" s="7" t="s">
        <v>243</v>
      </c>
      <c r="J27" s="7" t="s">
        <v>244</v>
      </c>
      <c r="K27" s="7" t="s">
        <v>245</v>
      </c>
      <c r="L27" s="17"/>
      <c r="M27" s="18">
        <v>5.88E7</v>
      </c>
      <c r="N27" s="3">
        <f>STANDARDIZE(M27,Profiling!$C$2, Profiling!$B$2)</f>
        <v>0.2018066362</v>
      </c>
      <c r="O27" s="18">
        <v>5.474E8</v>
      </c>
      <c r="P27" s="3">
        <f>STANDARDIZE(O27,Profiling!$C$3, Profiling!$B$3)</f>
        <v>2.157735271</v>
      </c>
      <c r="Q27" s="3"/>
      <c r="R27" s="3"/>
    </row>
    <row r="28">
      <c r="A28" s="11" t="s">
        <v>246</v>
      </c>
      <c r="B28" s="20">
        <v>42237.0</v>
      </c>
      <c r="C28" s="13" t="s">
        <v>247</v>
      </c>
      <c r="D28" s="11" t="s">
        <v>15</v>
      </c>
      <c r="E28" s="11" t="s">
        <v>17</v>
      </c>
      <c r="F28" s="15" t="s">
        <v>248</v>
      </c>
      <c r="G28" s="16"/>
      <c r="H28" s="7" t="s">
        <v>249</v>
      </c>
      <c r="I28" s="7" t="s">
        <v>250</v>
      </c>
      <c r="J28" s="7" t="s">
        <v>251</v>
      </c>
      <c r="K28" s="7" t="s">
        <v>252</v>
      </c>
      <c r="L28" s="7" t="s">
        <v>253</v>
      </c>
      <c r="M28" s="18">
        <v>2.8E7</v>
      </c>
      <c r="N28" s="3">
        <f>STANDARDIZE(M28,Profiling!$C$2, Profiling!$B$2)</f>
        <v>-0.4242275393</v>
      </c>
      <c r="O28" s="18">
        <v>2.71E7</v>
      </c>
      <c r="P28" s="3">
        <f>STANDARDIZE(O28,Profiling!$C$3, Profiling!$B$3)</f>
        <v>-0.6814705645</v>
      </c>
      <c r="Q28" s="3"/>
      <c r="R28" s="3"/>
    </row>
    <row r="29">
      <c r="A29" s="11" t="s">
        <v>254</v>
      </c>
      <c r="B29" s="20">
        <v>42171.0</v>
      </c>
      <c r="C29" s="13" t="s">
        <v>255</v>
      </c>
      <c r="D29" s="11" t="s">
        <v>24</v>
      </c>
      <c r="E29" s="11" t="s">
        <v>23</v>
      </c>
      <c r="F29" s="15" t="s">
        <v>256</v>
      </c>
      <c r="G29" s="16"/>
      <c r="H29" s="7" t="s">
        <v>257</v>
      </c>
      <c r="I29" s="7" t="s">
        <v>258</v>
      </c>
      <c r="J29" s="7" t="s">
        <v>259</v>
      </c>
      <c r="K29" s="7" t="s">
        <v>260</v>
      </c>
      <c r="L29" s="7" t="s">
        <v>261</v>
      </c>
      <c r="M29" s="18">
        <v>3400000.0</v>
      </c>
      <c r="N29" s="3">
        <f>STANDARDIZE(M29,Profiling!$C$2, Profiling!$B$2)</f>
        <v>-0.9242418483</v>
      </c>
      <c r="O29" s="18">
        <v>2.2E7</v>
      </c>
      <c r="P29" s="3">
        <f>STANDARDIZE(O29,Profiling!$C$3, Profiling!$B$3)</f>
        <v>-0.709300566</v>
      </c>
      <c r="Q29" s="3"/>
      <c r="R29" s="3"/>
    </row>
    <row r="30">
      <c r="A30" s="11" t="s">
        <v>262</v>
      </c>
      <c r="B30" s="20">
        <v>41908.0</v>
      </c>
      <c r="C30" s="13" t="s">
        <v>263</v>
      </c>
      <c r="D30" s="11" t="s">
        <v>18</v>
      </c>
      <c r="E30" s="17"/>
      <c r="F30" s="15" t="s">
        <v>264</v>
      </c>
      <c r="G30" s="16"/>
      <c r="H30" s="7" t="s">
        <v>265</v>
      </c>
      <c r="I30" s="7" t="s">
        <v>266</v>
      </c>
      <c r="J30" s="7" t="s">
        <v>267</v>
      </c>
      <c r="K30" s="7" t="s">
        <v>268</v>
      </c>
      <c r="L30" s="17"/>
      <c r="M30" s="18">
        <v>6500000.0</v>
      </c>
      <c r="N30" s="3">
        <f>STANDARDIZE(M30,Profiling!$C$2, Profiling!$B$2)</f>
        <v>-0.8612319151</v>
      </c>
      <c r="O30" s="18">
        <v>2.5689999999999997E8</v>
      </c>
      <c r="P30" s="3">
        <f>STANDARDIZE(O30,Profiling!$C$3, Profiling!$B$3)</f>
        <v>0.57251656</v>
      </c>
      <c r="Q30" s="3"/>
      <c r="R30" s="3"/>
    </row>
    <row r="31">
      <c r="A31" s="11" t="s">
        <v>269</v>
      </c>
      <c r="B31" s="20">
        <v>41980.0</v>
      </c>
      <c r="C31" s="13" t="s">
        <v>270</v>
      </c>
      <c r="D31" s="11" t="s">
        <v>17</v>
      </c>
      <c r="E31" s="11" t="s">
        <v>20</v>
      </c>
      <c r="F31" s="15" t="s">
        <v>271</v>
      </c>
      <c r="G31" s="16"/>
      <c r="H31" s="7" t="s">
        <v>272</v>
      </c>
      <c r="I31" s="7" t="s">
        <v>273</v>
      </c>
      <c r="J31" s="7" t="s">
        <v>274</v>
      </c>
      <c r="K31" s="7" t="s">
        <v>275</v>
      </c>
      <c r="L31" s="7" t="s">
        <v>276</v>
      </c>
      <c r="M31" s="18">
        <v>6.5E7</v>
      </c>
      <c r="N31" s="3">
        <f>STANDARDIZE(M31,Profiling!$C$2, Profiling!$B$2)</f>
        <v>0.3278265027</v>
      </c>
      <c r="O31" s="18">
        <v>1.3380000000000001E8</v>
      </c>
      <c r="P31" s="3">
        <f>STANDARDIZE(O31,Profiling!$C$3, Profiling!$B$3)</f>
        <v>-0.09922327913</v>
      </c>
      <c r="Q31" s="3"/>
      <c r="R31" s="3"/>
    </row>
    <row r="32">
      <c r="A32" s="11" t="s">
        <v>277</v>
      </c>
      <c r="B32" s="20">
        <v>42184.0</v>
      </c>
      <c r="C32" s="13" t="s">
        <v>278</v>
      </c>
      <c r="D32" s="11" t="s">
        <v>15</v>
      </c>
      <c r="E32" s="11" t="s">
        <v>10</v>
      </c>
      <c r="F32" s="15" t="s">
        <v>279</v>
      </c>
      <c r="G32" s="16"/>
      <c r="H32" s="7" t="s">
        <v>280</v>
      </c>
      <c r="I32" s="7" t="s">
        <v>281</v>
      </c>
      <c r="J32" s="7" t="s">
        <v>282</v>
      </c>
      <c r="K32" s="7" t="s">
        <v>276</v>
      </c>
      <c r="L32" s="7" t="s">
        <v>283</v>
      </c>
      <c r="M32" s="18">
        <v>1.3E8</v>
      </c>
      <c r="N32" s="3">
        <f>STANDARDIZE(M32,Profiling!$C$2, Profiling!$B$2)</f>
        <v>1.649002522</v>
      </c>
      <c r="O32" s="18">
        <v>5.194E8</v>
      </c>
      <c r="P32" s="3">
        <f>STANDARDIZE(O32,Profiling!$C$3, Profiling!$B$3)</f>
        <v>2.004943106</v>
      </c>
      <c r="Q32" s="3"/>
      <c r="R32" s="3"/>
    </row>
    <row r="33">
      <c r="A33" s="11" t="s">
        <v>284</v>
      </c>
      <c r="B33" s="20">
        <v>41194.0</v>
      </c>
      <c r="C33" s="13" t="s">
        <v>285</v>
      </c>
      <c r="D33" s="11" t="s">
        <v>20</v>
      </c>
      <c r="E33" s="17"/>
      <c r="F33" s="15" t="s">
        <v>286</v>
      </c>
      <c r="G33" s="16"/>
      <c r="H33" s="7" t="s">
        <v>286</v>
      </c>
      <c r="I33" s="7" t="s">
        <v>61</v>
      </c>
      <c r="J33" s="7" t="s">
        <v>287</v>
      </c>
      <c r="K33" s="7" t="s">
        <v>288</v>
      </c>
      <c r="L33" s="7" t="s">
        <v>289</v>
      </c>
      <c r="M33" s="18">
        <v>4.45E7</v>
      </c>
      <c r="N33" s="3">
        <f>STANDARDIZE(M33,Profiling!$C$2, Profiling!$B$2)</f>
        <v>-0.08885208818</v>
      </c>
      <c r="O33" s="18">
        <v>2.323E8</v>
      </c>
      <c r="P33" s="3">
        <f>STANDARDIZE(O33,Profiling!$C$3, Profiling!$B$3)</f>
        <v>0.4382777294</v>
      </c>
      <c r="Q33" s="3"/>
      <c r="R33" s="3"/>
    </row>
    <row r="34">
      <c r="A34" s="11" t="s">
        <v>290</v>
      </c>
      <c r="B34" s="20">
        <v>41880.0</v>
      </c>
      <c r="C34" s="13" t="s">
        <v>291</v>
      </c>
      <c r="D34" s="11" t="s">
        <v>18</v>
      </c>
      <c r="E34" s="17"/>
      <c r="F34" s="15" t="s">
        <v>292</v>
      </c>
      <c r="G34" s="16"/>
      <c r="H34" s="7" t="s">
        <v>293</v>
      </c>
      <c r="I34" s="7" t="s">
        <v>294</v>
      </c>
      <c r="J34" s="7" t="s">
        <v>295</v>
      </c>
      <c r="K34" s="7" t="s">
        <v>296</v>
      </c>
      <c r="L34" s="7" t="s">
        <v>297</v>
      </c>
      <c r="M34" s="18">
        <v>5000000.0</v>
      </c>
      <c r="N34" s="3">
        <f>STANDARDIZE(M34,Profiling!$C$2, Profiling!$B$2)</f>
        <v>-0.8917205925</v>
      </c>
      <c r="O34" s="18">
        <v>5000000.0</v>
      </c>
      <c r="P34" s="3">
        <f>STANDARDIZE(O34,Profiling!$C$3, Profiling!$B$3)</f>
        <v>-0.8020672375</v>
      </c>
      <c r="Q34" s="3"/>
      <c r="R34" s="3"/>
    </row>
    <row r="35">
      <c r="A35" s="11" t="s">
        <v>298</v>
      </c>
      <c r="B35" s="20">
        <v>42580.0</v>
      </c>
      <c r="C35" s="13" t="s">
        <v>299</v>
      </c>
      <c r="D35" s="11" t="s">
        <v>17</v>
      </c>
      <c r="E35" s="17"/>
      <c r="F35" s="15" t="s">
        <v>300</v>
      </c>
      <c r="G35" s="15" t="s">
        <v>301</v>
      </c>
      <c r="H35" s="7" t="s">
        <v>302</v>
      </c>
      <c r="I35" s="7" t="s">
        <v>303</v>
      </c>
      <c r="J35" s="7" t="s">
        <v>304</v>
      </c>
      <c r="K35" s="7" t="s">
        <v>305</v>
      </c>
      <c r="L35" s="7" t="s">
        <v>306</v>
      </c>
      <c r="M35" s="18">
        <v>2.0E7</v>
      </c>
      <c r="N35" s="3">
        <f>STANDARDIZE(M35,Profiling!$C$2, Profiling!$B$2)</f>
        <v>-0.5868338187</v>
      </c>
      <c r="O35" s="18">
        <v>1.242E8</v>
      </c>
      <c r="P35" s="3">
        <f>STANDARDIZE(O35,Profiling!$C$3, Profiling!$B$3)</f>
        <v>-0.1516091642</v>
      </c>
      <c r="Q35" s="3"/>
      <c r="R35" s="3"/>
    </row>
    <row r="36">
      <c r="A36" s="11" t="s">
        <v>307</v>
      </c>
      <c r="B36" s="20">
        <v>42475.0</v>
      </c>
      <c r="C36" s="13" t="s">
        <v>308</v>
      </c>
      <c r="D36" s="11" t="s">
        <v>17</v>
      </c>
      <c r="E36" s="17"/>
      <c r="F36" s="15" t="s">
        <v>309</v>
      </c>
      <c r="G36" s="16"/>
      <c r="H36" s="7" t="s">
        <v>88</v>
      </c>
      <c r="I36" s="7" t="s">
        <v>138</v>
      </c>
      <c r="J36" s="7" t="s">
        <v>310</v>
      </c>
      <c r="K36" s="7" t="s">
        <v>311</v>
      </c>
      <c r="L36" s="7" t="s">
        <v>312</v>
      </c>
      <c r="M36" s="18">
        <v>2.0E7</v>
      </c>
      <c r="N36" s="3">
        <f>STANDARDIZE(M36,Profiling!$C$2, Profiling!$B$2)</f>
        <v>-0.5868338187</v>
      </c>
      <c r="O36" s="18">
        <v>5.5E7</v>
      </c>
      <c r="P36" s="3">
        <f>STANDARDIZE(O36,Profiling!$C$3, Profiling!$B$3)</f>
        <v>-0.529224086</v>
      </c>
      <c r="Q36" s="3"/>
      <c r="R36" s="3"/>
    </row>
    <row r="37">
      <c r="A37" s="11" t="s">
        <v>313</v>
      </c>
      <c r="B37" s="20">
        <v>42448.0</v>
      </c>
      <c r="C37" s="13" t="s">
        <v>314</v>
      </c>
      <c r="D37" s="11" t="s">
        <v>15</v>
      </c>
      <c r="E37" s="11"/>
      <c r="F37" s="15" t="s">
        <v>37</v>
      </c>
      <c r="G37" s="16"/>
      <c r="H37" s="7" t="s">
        <v>286</v>
      </c>
      <c r="I37" s="7" t="s">
        <v>315</v>
      </c>
      <c r="J37" s="7" t="s">
        <v>316</v>
      </c>
      <c r="K37" s="7" t="s">
        <v>249</v>
      </c>
      <c r="L37" s="7" t="s">
        <v>317</v>
      </c>
      <c r="M37" s="18">
        <v>2.5E8</v>
      </c>
      <c r="N37" s="3">
        <f>STANDARDIZE(M37,Profiling!$C$2, Profiling!$B$2)</f>
        <v>4.088096713</v>
      </c>
      <c r="O37" s="18">
        <v>8.727E8</v>
      </c>
      <c r="P37" s="3">
        <f>STANDARDIZE(O37,Profiling!$C$3, Profiling!$B$3)</f>
        <v>3.932852814</v>
      </c>
      <c r="Q37" s="3"/>
      <c r="R37" s="3"/>
    </row>
    <row r="38">
      <c r="A38" s="11" t="s">
        <v>318</v>
      </c>
      <c r="B38" s="20">
        <v>42576.0</v>
      </c>
      <c r="C38" s="13" t="s">
        <v>319</v>
      </c>
      <c r="D38" s="11" t="s">
        <v>15</v>
      </c>
      <c r="E38" s="11"/>
      <c r="F38" s="15" t="s">
        <v>320</v>
      </c>
      <c r="G38" s="15" t="s">
        <v>321</v>
      </c>
      <c r="H38" s="7" t="s">
        <v>322</v>
      </c>
      <c r="I38" s="7" t="s">
        <v>323</v>
      </c>
      <c r="J38" s="7" t="s">
        <v>324</v>
      </c>
      <c r="K38" s="7" t="s">
        <v>325</v>
      </c>
      <c r="L38" s="17"/>
      <c r="M38" s="18">
        <v>3500000.0</v>
      </c>
      <c r="N38" s="3">
        <f>STANDARDIZE(M38,Profiling!$C$2, Profiling!$B$2)</f>
        <v>-0.9222092698</v>
      </c>
      <c r="O38" s="18">
        <v>4400000.0</v>
      </c>
      <c r="P38" s="3">
        <f>STANDARDIZE(O38,Profiling!$C$3, Profiling!$B$3)</f>
        <v>-0.8053413553</v>
      </c>
      <c r="Q38" s="3"/>
      <c r="R38" s="3"/>
    </row>
    <row r="39">
      <c r="A39" s="11" t="s">
        <v>326</v>
      </c>
      <c r="B39" s="20">
        <v>41537.0</v>
      </c>
      <c r="C39" s="13" t="s">
        <v>327</v>
      </c>
      <c r="D39" s="11" t="s">
        <v>21</v>
      </c>
      <c r="E39" s="17"/>
      <c r="F39" s="15" t="s">
        <v>328</v>
      </c>
      <c r="G39" s="16"/>
      <c r="H39" s="7" t="s">
        <v>329</v>
      </c>
      <c r="I39" s="7" t="s">
        <v>330</v>
      </c>
      <c r="J39" s="7" t="s">
        <v>331</v>
      </c>
      <c r="K39" s="7" t="s">
        <v>332</v>
      </c>
      <c r="L39" s="7" t="s">
        <v>333</v>
      </c>
      <c r="M39" s="18">
        <v>2.0E7</v>
      </c>
      <c r="N39" s="3">
        <f>STANDARDIZE(M39,Profiling!$C$2, Profiling!$B$2)</f>
        <v>-0.5868338187</v>
      </c>
      <c r="O39" s="18">
        <v>1.65E7</v>
      </c>
      <c r="P39" s="3">
        <f>STANDARDIZE(O39,Profiling!$C$3, Profiling!$B$3)</f>
        <v>-0.7393133127</v>
      </c>
      <c r="Q39" s="3"/>
      <c r="R39" s="3"/>
    </row>
    <row r="40">
      <c r="A40" s="11" t="s">
        <v>334</v>
      </c>
      <c r="B40" s="20">
        <v>41047.0</v>
      </c>
      <c r="C40" s="13" t="s">
        <v>335</v>
      </c>
      <c r="D40" s="11" t="s">
        <v>15</v>
      </c>
      <c r="E40" s="11" t="s">
        <v>14</v>
      </c>
      <c r="F40" s="15" t="s">
        <v>336</v>
      </c>
      <c r="G40" s="16"/>
      <c r="H40" s="7" t="s">
        <v>337</v>
      </c>
      <c r="I40" s="7" t="s">
        <v>338</v>
      </c>
      <c r="J40" s="7" t="s">
        <v>339</v>
      </c>
      <c r="K40" s="7" t="s">
        <v>340</v>
      </c>
      <c r="L40" s="7" t="s">
        <v>177</v>
      </c>
      <c r="M40" s="18">
        <v>2.2E8</v>
      </c>
      <c r="N40" s="3">
        <f>STANDARDIZE(M40,Profiling!$C$2, Profiling!$B$2)</f>
        <v>3.478323165</v>
      </c>
      <c r="O40" s="18">
        <v>3.03E8</v>
      </c>
      <c r="P40" s="3">
        <f>STANDARDIZE(O40,Profiling!$C$3, Profiling!$B$3)</f>
        <v>0.8240779457</v>
      </c>
      <c r="Q40" s="3"/>
      <c r="R40" s="3"/>
    </row>
    <row r="41">
      <c r="A41" s="11" t="s">
        <v>341</v>
      </c>
      <c r="B41" s="20">
        <v>41087.0</v>
      </c>
      <c r="C41" s="13" t="s">
        <v>342</v>
      </c>
      <c r="D41" s="11" t="s">
        <v>20</v>
      </c>
      <c r="E41" s="11" t="s">
        <v>13</v>
      </c>
      <c r="F41" s="15" t="s">
        <v>343</v>
      </c>
      <c r="G41" s="16"/>
      <c r="H41" s="7" t="s">
        <v>272</v>
      </c>
      <c r="I41" s="7" t="s">
        <v>344</v>
      </c>
      <c r="J41" s="17"/>
      <c r="K41" s="17"/>
      <c r="L41" s="17"/>
      <c r="M41" s="18">
        <v>1800000.0</v>
      </c>
      <c r="N41" s="3">
        <f>STANDARDIZE(M41,Profiling!$C$2, Profiling!$B$2)</f>
        <v>-0.9567631042</v>
      </c>
      <c r="O41" s="18">
        <v>2.19E7</v>
      </c>
      <c r="P41" s="3">
        <f>STANDARDIZE(O41,Profiling!$C$3, Profiling!$B$3)</f>
        <v>-0.7098462523</v>
      </c>
      <c r="Q41" s="3"/>
      <c r="R41" s="3"/>
    </row>
    <row r="42">
      <c r="A42" s="11" t="s">
        <v>345</v>
      </c>
      <c r="B42" s="20">
        <v>41319.0</v>
      </c>
      <c r="C42" s="13" t="s">
        <v>346</v>
      </c>
      <c r="D42" s="11" t="s">
        <v>13</v>
      </c>
      <c r="E42" s="11" t="s">
        <v>22</v>
      </c>
      <c r="F42" s="15" t="s">
        <v>347</v>
      </c>
      <c r="G42" s="16"/>
      <c r="H42" s="7" t="s">
        <v>348</v>
      </c>
      <c r="I42" s="7" t="s">
        <v>349</v>
      </c>
      <c r="J42" s="7" t="s">
        <v>186</v>
      </c>
      <c r="K42" s="7" t="s">
        <v>350</v>
      </c>
      <c r="L42" s="7" t="s">
        <v>351</v>
      </c>
      <c r="M42" s="18">
        <v>6.0E7</v>
      </c>
      <c r="N42" s="3">
        <f>STANDARDIZE(M42,Profiling!$C$2, Profiling!$B$2)</f>
        <v>0.2261975781</v>
      </c>
      <c r="O42" s="18">
        <v>6.01E7</v>
      </c>
      <c r="P42" s="3">
        <f>STANDARDIZE(O42,Profiling!$C$3, Profiling!$B$3)</f>
        <v>-0.5013940845</v>
      </c>
      <c r="Q42" s="3"/>
      <c r="R42" s="3"/>
    </row>
    <row r="43">
      <c r="A43" s="11" t="s">
        <v>352</v>
      </c>
      <c r="B43" s="20">
        <v>41886.0</v>
      </c>
      <c r="C43" s="13" t="s">
        <v>353</v>
      </c>
      <c r="D43" s="11" t="s">
        <v>16</v>
      </c>
      <c r="E43" s="11" t="s">
        <v>19</v>
      </c>
      <c r="F43" s="15" t="s">
        <v>354</v>
      </c>
      <c r="G43" s="16"/>
      <c r="H43" s="7" t="s">
        <v>355</v>
      </c>
      <c r="I43" s="7" t="s">
        <v>356</v>
      </c>
      <c r="J43" s="7" t="s">
        <v>357</v>
      </c>
      <c r="K43" s="7" t="s">
        <v>358</v>
      </c>
      <c r="L43" s="17"/>
      <c r="M43" s="18">
        <v>2.2E7</v>
      </c>
      <c r="N43" s="3">
        <f>STANDARDIZE(M43,Profiling!$C$2, Profiling!$B$2)</f>
        <v>-0.5461822489</v>
      </c>
      <c r="O43" s="18">
        <v>1.51E7</v>
      </c>
      <c r="P43" s="3">
        <f>STANDARDIZE(O43,Profiling!$C$3, Profiling!$B$3)</f>
        <v>-0.7469529209</v>
      </c>
      <c r="Q43" s="3"/>
      <c r="R43" s="3"/>
    </row>
    <row r="44">
      <c r="A44" s="11" t="s">
        <v>359</v>
      </c>
      <c r="B44" s="20">
        <v>42601.0</v>
      </c>
      <c r="C44" s="13" t="s">
        <v>360</v>
      </c>
      <c r="D44" s="11" t="s">
        <v>10</v>
      </c>
      <c r="E44" s="17"/>
      <c r="F44" s="15" t="s">
        <v>189</v>
      </c>
      <c r="G44" s="16"/>
      <c r="H44" s="7" t="s">
        <v>361</v>
      </c>
      <c r="I44" s="7" t="s">
        <v>362</v>
      </c>
      <c r="J44" s="7" t="s">
        <v>363</v>
      </c>
      <c r="K44" s="7" t="s">
        <v>96</v>
      </c>
      <c r="L44" s="7" t="s">
        <v>364</v>
      </c>
      <c r="M44" s="18">
        <v>1.0E8</v>
      </c>
      <c r="N44" s="3">
        <f>STANDARDIZE(M44,Profiling!$C$2, Profiling!$B$2)</f>
        <v>1.039228975</v>
      </c>
      <c r="O44" s="18">
        <v>4.14E7</v>
      </c>
      <c r="P44" s="3">
        <f>STANDARDIZE(O44,Profiling!$C$3, Profiling!$B$3)</f>
        <v>-0.6034374232</v>
      </c>
      <c r="Q44" s="3"/>
      <c r="R44" s="3"/>
    </row>
    <row r="45">
      <c r="A45" s="11" t="s">
        <v>365</v>
      </c>
      <c r="B45" s="20">
        <v>41888.0</v>
      </c>
      <c r="C45" s="13" t="s">
        <v>366</v>
      </c>
      <c r="D45" s="11" t="s">
        <v>22</v>
      </c>
      <c r="E45" s="11" t="s">
        <v>20</v>
      </c>
      <c r="F45" s="15" t="s">
        <v>367</v>
      </c>
      <c r="G45" s="16"/>
      <c r="H45" s="7" t="s">
        <v>368</v>
      </c>
      <c r="I45" s="7" t="s">
        <v>369</v>
      </c>
      <c r="J45" s="7" t="s">
        <v>370</v>
      </c>
      <c r="K45" s="7" t="s">
        <v>371</v>
      </c>
      <c r="L45" s="17"/>
      <c r="M45" s="18">
        <v>7000000.0</v>
      </c>
      <c r="N45" s="3">
        <f>STANDARDIZE(M45,Profiling!$C$2, Profiling!$B$2)</f>
        <v>-0.8510690226</v>
      </c>
      <c r="O45" s="18">
        <v>1.46E7</v>
      </c>
      <c r="P45" s="3">
        <f>STANDARDIZE(O45,Profiling!$C$3, Profiling!$B$3)</f>
        <v>-0.7496813524</v>
      </c>
      <c r="Q45" s="3"/>
      <c r="R45" s="3"/>
    </row>
    <row r="46">
      <c r="A46" s="11" t="s">
        <v>372</v>
      </c>
      <c r="B46" s="20">
        <v>41998.0</v>
      </c>
      <c r="C46" s="13" t="s">
        <v>373</v>
      </c>
      <c r="D46" s="11" t="s">
        <v>24</v>
      </c>
      <c r="E46" s="11" t="s">
        <v>20</v>
      </c>
      <c r="F46" s="15" t="s">
        <v>374</v>
      </c>
      <c r="G46" s="16"/>
      <c r="H46" s="7" t="s">
        <v>316</v>
      </c>
      <c r="I46" s="7" t="s">
        <v>375</v>
      </c>
      <c r="J46" s="7" t="s">
        <v>376</v>
      </c>
      <c r="K46" s="7" t="s">
        <v>377</v>
      </c>
      <c r="L46" s="7" t="s">
        <v>378</v>
      </c>
      <c r="M46" s="18">
        <v>1.0E7</v>
      </c>
      <c r="N46" s="3">
        <f>STANDARDIZE(M46,Profiling!$C$2, Profiling!$B$2)</f>
        <v>-0.7900916679</v>
      </c>
      <c r="O46" s="18">
        <v>2.93E7</v>
      </c>
      <c r="P46" s="3">
        <f>STANDARDIZE(O46,Profiling!$C$3, Profiling!$B$3)</f>
        <v>-0.6694654659</v>
      </c>
      <c r="Q46" s="3"/>
      <c r="R46" s="3"/>
    </row>
    <row r="47">
      <c r="A47" s="11" t="s">
        <v>379</v>
      </c>
      <c r="B47" s="20">
        <v>42251.0</v>
      </c>
      <c r="C47" s="13" t="s">
        <v>380</v>
      </c>
      <c r="D47" s="11" t="s">
        <v>15</v>
      </c>
      <c r="E47" s="11" t="s">
        <v>20</v>
      </c>
      <c r="F47" s="15" t="s">
        <v>381</v>
      </c>
      <c r="G47" s="16"/>
      <c r="H47" s="7" t="s">
        <v>382</v>
      </c>
      <c r="I47" s="7" t="s">
        <v>383</v>
      </c>
      <c r="J47" s="7" t="s">
        <v>384</v>
      </c>
      <c r="K47" s="7" t="s">
        <v>243</v>
      </c>
      <c r="L47" s="7" t="s">
        <v>385</v>
      </c>
      <c r="M47" s="18">
        <v>5.3E7</v>
      </c>
      <c r="N47" s="3">
        <f>STANDARDIZE(M47,Profiling!$C$2, Profiling!$B$2)</f>
        <v>0.08391708363</v>
      </c>
      <c r="O47" s="18">
        <v>9.98E7</v>
      </c>
      <c r="P47" s="3">
        <f>STANDARDIZE(O47,Profiling!$C$3, Profiling!$B$3)</f>
        <v>-0.2847566222</v>
      </c>
      <c r="Q47" s="3"/>
      <c r="R47" s="3"/>
    </row>
    <row r="48">
      <c r="A48" s="11" t="s">
        <v>386</v>
      </c>
      <c r="B48" s="20">
        <v>42012.0</v>
      </c>
      <c r="C48" s="13" t="s">
        <v>387</v>
      </c>
      <c r="D48" s="11" t="s">
        <v>15</v>
      </c>
      <c r="E48" s="11" t="s">
        <v>19</v>
      </c>
      <c r="F48" s="15" t="s">
        <v>388</v>
      </c>
      <c r="G48" s="16"/>
      <c r="H48" s="7" t="s">
        <v>389</v>
      </c>
      <c r="I48" s="7" t="s">
        <v>348</v>
      </c>
      <c r="J48" s="7" t="s">
        <v>390</v>
      </c>
      <c r="K48" s="7" t="s">
        <v>391</v>
      </c>
      <c r="L48" s="7" t="s">
        <v>392</v>
      </c>
      <c r="M48" s="18">
        <v>7.0E7</v>
      </c>
      <c r="N48" s="3">
        <f>STANDARDIZE(M48,Profiling!$C$2, Profiling!$B$2)</f>
        <v>0.4294554272</v>
      </c>
      <c r="O48" s="18">
        <v>1.97E7</v>
      </c>
      <c r="P48" s="3">
        <f>STANDARDIZE(O48,Profiling!$C$3, Profiling!$B$3)</f>
        <v>-0.721851351</v>
      </c>
      <c r="Q48" s="3"/>
      <c r="R48" s="3"/>
    </row>
    <row r="49">
      <c r="A49" s="11" t="s">
        <v>393</v>
      </c>
      <c r="B49" s="20">
        <v>41782.0</v>
      </c>
      <c r="C49" s="13" t="s">
        <v>394</v>
      </c>
      <c r="D49" s="11" t="s">
        <v>17</v>
      </c>
      <c r="E49" s="11" t="s">
        <v>22</v>
      </c>
      <c r="F49" s="15" t="s">
        <v>395</v>
      </c>
      <c r="G49" s="16"/>
      <c r="H49" s="7" t="s">
        <v>396</v>
      </c>
      <c r="I49" s="7" t="s">
        <v>397</v>
      </c>
      <c r="J49" s="7" t="s">
        <v>231</v>
      </c>
      <c r="K49" s="7" t="s">
        <v>398</v>
      </c>
      <c r="L49" s="7" t="s">
        <v>399</v>
      </c>
      <c r="M49" s="18">
        <v>4.0E7</v>
      </c>
      <c r="N49" s="3">
        <f>STANDARDIZE(M49,Profiling!$C$2, Profiling!$B$2)</f>
        <v>-0.1803181203</v>
      </c>
      <c r="O49" s="18">
        <v>1.28E8</v>
      </c>
      <c r="P49" s="3">
        <f>STANDARDIZE(O49,Profiling!$C$3, Profiling!$B$3)</f>
        <v>-0.1308730847</v>
      </c>
      <c r="Q49" s="3"/>
      <c r="R49" s="3"/>
    </row>
    <row r="50">
      <c r="A50" s="11" t="s">
        <v>400</v>
      </c>
      <c r="B50" s="20">
        <v>41481.0</v>
      </c>
      <c r="C50" s="13" t="s">
        <v>401</v>
      </c>
      <c r="D50" s="11" t="s">
        <v>20</v>
      </c>
      <c r="E50" s="17"/>
      <c r="F50" s="15" t="s">
        <v>402</v>
      </c>
      <c r="G50" s="16" t="s">
        <v>403</v>
      </c>
      <c r="H50" s="7" t="s">
        <v>222</v>
      </c>
      <c r="I50" s="7" t="s">
        <v>404</v>
      </c>
      <c r="J50" s="7" t="s">
        <v>276</v>
      </c>
      <c r="K50" s="7" t="s">
        <v>405</v>
      </c>
      <c r="L50" s="7" t="s">
        <v>406</v>
      </c>
      <c r="M50" s="18">
        <v>1.8E7</v>
      </c>
      <c r="N50" s="3">
        <f>STANDARDIZE(M50,Profiling!$C$2, Profiling!$B$2)</f>
        <v>-0.6274853885</v>
      </c>
      <c r="O50" s="18">
        <v>9.75E7</v>
      </c>
      <c r="P50" s="3">
        <f>STANDARDIZE(O50,Profiling!$C$3, Profiling!$B$3)</f>
        <v>-0.2973074072</v>
      </c>
      <c r="Q50" s="3"/>
      <c r="R50" s="3"/>
    </row>
    <row r="51">
      <c r="A51" s="11" t="s">
        <v>407</v>
      </c>
      <c r="B51" s="20">
        <v>41658.0</v>
      </c>
      <c r="C51" s="13" t="s">
        <v>408</v>
      </c>
      <c r="D51" s="11" t="s">
        <v>20</v>
      </c>
      <c r="E51" s="17"/>
      <c r="F51" s="26" t="s">
        <v>409</v>
      </c>
      <c r="G51" s="16" t="s">
        <v>403</v>
      </c>
      <c r="H51" s="7" t="s">
        <v>410</v>
      </c>
      <c r="I51" s="7" t="s">
        <v>411</v>
      </c>
      <c r="J51" s="7" t="s">
        <v>412</v>
      </c>
      <c r="K51" s="17"/>
      <c r="L51" s="17"/>
      <c r="M51" s="18">
        <v>4000000.0</v>
      </c>
      <c r="N51" s="3">
        <f>STANDARDIZE(M51,Profiling!$C$2, Profiling!$B$2)</f>
        <v>-0.9120463774</v>
      </c>
      <c r="O51" s="18">
        <v>4.45E7</v>
      </c>
      <c r="P51" s="3">
        <f>STANDARDIZE(O51,Profiling!$C$3, Profiling!$B$3)</f>
        <v>-0.5865211478</v>
      </c>
      <c r="Q51" s="3"/>
      <c r="R51" s="3"/>
    </row>
    <row r="52">
      <c r="A52" s="11" t="s">
        <v>413</v>
      </c>
      <c r="B52" s="20">
        <v>41752.0</v>
      </c>
      <c r="C52" s="13" t="s">
        <v>414</v>
      </c>
      <c r="D52" s="11" t="s">
        <v>15</v>
      </c>
      <c r="E52" s="17"/>
      <c r="F52" s="15" t="s">
        <v>415</v>
      </c>
      <c r="G52" s="16"/>
      <c r="H52" s="7" t="s">
        <v>416</v>
      </c>
      <c r="I52" s="7" t="s">
        <v>417</v>
      </c>
      <c r="J52" s="7" t="s">
        <v>418</v>
      </c>
      <c r="K52" s="17"/>
      <c r="L52" s="17"/>
      <c r="M52" s="18">
        <v>2.3E7</v>
      </c>
      <c r="N52" s="3">
        <f>STANDARDIZE(M52,Profiling!$C$2, Profiling!$B$2)</f>
        <v>-0.5258564639</v>
      </c>
      <c r="O52" s="18">
        <v>6.9E7</v>
      </c>
      <c r="P52" s="3">
        <f>STANDARDIZE(O52,Profiling!$C$3, Profiling!$B$3)</f>
        <v>-0.4528280035</v>
      </c>
      <c r="Q52" s="3"/>
      <c r="R52" s="3"/>
    </row>
    <row r="53">
      <c r="A53" s="11" t="s">
        <v>419</v>
      </c>
      <c r="B53" s="20">
        <v>42281.0</v>
      </c>
      <c r="C53" s="13" t="s">
        <v>420</v>
      </c>
      <c r="D53" s="25" t="s">
        <v>20</v>
      </c>
      <c r="E53" s="17"/>
      <c r="F53" s="15" t="s">
        <v>421</v>
      </c>
      <c r="G53" s="16"/>
      <c r="H53" s="7" t="s">
        <v>422</v>
      </c>
      <c r="I53" s="7" t="s">
        <v>423</v>
      </c>
      <c r="J53" s="7" t="s">
        <v>424</v>
      </c>
      <c r="K53" s="7" t="s">
        <v>425</v>
      </c>
      <c r="L53" s="7" t="s">
        <v>426</v>
      </c>
      <c r="M53" s="18">
        <v>4.0E7</v>
      </c>
      <c r="N53" s="3">
        <f>STANDARDIZE(M53,Profiling!$C$2, Profiling!$B$2)</f>
        <v>-0.1803181203</v>
      </c>
      <c r="O53" s="18">
        <v>1.655E8</v>
      </c>
      <c r="P53" s="3">
        <f>STANDARDIZE(O53,Profiling!$C$3, Profiling!$B$3)</f>
        <v>0.07375927895</v>
      </c>
      <c r="Q53" s="3"/>
      <c r="R53" s="3"/>
    </row>
    <row r="54">
      <c r="A54" s="11" t="s">
        <v>427</v>
      </c>
      <c r="B54" s="20">
        <v>42030.0</v>
      </c>
      <c r="C54" s="13" t="s">
        <v>428</v>
      </c>
      <c r="D54" s="11" t="s">
        <v>20</v>
      </c>
      <c r="E54" s="11" t="s">
        <v>22</v>
      </c>
      <c r="F54" s="15" t="s">
        <v>429</v>
      </c>
      <c r="G54" s="16"/>
      <c r="H54" s="7" t="s">
        <v>430</v>
      </c>
      <c r="I54" s="7" t="s">
        <v>431</v>
      </c>
      <c r="J54" s="7" t="s">
        <v>432</v>
      </c>
      <c r="K54" s="7" t="s">
        <v>433</v>
      </c>
      <c r="L54" s="7" t="s">
        <v>434</v>
      </c>
      <c r="M54" s="18">
        <v>1.1E7</v>
      </c>
      <c r="N54" s="3">
        <f>STANDARDIZE(M54,Profiling!$C$2, Profiling!$B$2)</f>
        <v>-0.769765883</v>
      </c>
      <c r="O54" s="18">
        <v>6.21E7</v>
      </c>
      <c r="P54" s="3">
        <f>STANDARDIZE(O54,Profiling!$C$3, Profiling!$B$3)</f>
        <v>-0.4904803585</v>
      </c>
      <c r="Q54" s="3"/>
      <c r="R54" s="3"/>
    </row>
    <row r="55">
      <c r="A55" s="11" t="s">
        <v>435</v>
      </c>
      <c r="B55" s="20">
        <v>41306.0</v>
      </c>
      <c r="C55" s="13" t="s">
        <v>436</v>
      </c>
      <c r="D55" s="11" t="s">
        <v>25</v>
      </c>
      <c r="E55" s="11" t="s">
        <v>15</v>
      </c>
      <c r="F55" s="15" t="s">
        <v>437</v>
      </c>
      <c r="G55" s="16"/>
      <c r="H55" s="7" t="s">
        <v>438</v>
      </c>
      <c r="I55" s="7" t="s">
        <v>439</v>
      </c>
      <c r="J55" s="7" t="s">
        <v>440</v>
      </c>
      <c r="K55" s="7" t="s">
        <v>441</v>
      </c>
      <c r="L55" s="5" t="s">
        <v>442</v>
      </c>
      <c r="M55" s="18">
        <v>5.5E7</v>
      </c>
      <c r="N55" s="3">
        <f>STANDARDIZE(M55,Profiling!$C$2, Profiling!$B$2)</f>
        <v>0.1245686535</v>
      </c>
      <c r="O55" s="18">
        <v>2.19E7</v>
      </c>
      <c r="P55" s="3">
        <f>STANDARDIZE(O55,Profiling!$C$3, Profiling!$B$3)</f>
        <v>-0.7098462523</v>
      </c>
      <c r="Q55" s="3"/>
      <c r="R55" s="3"/>
    </row>
    <row r="56">
      <c r="A56" s="11" t="s">
        <v>443</v>
      </c>
      <c r="B56" s="20">
        <v>42283.0</v>
      </c>
      <c r="C56" s="13" t="s">
        <v>444</v>
      </c>
      <c r="D56" s="11" t="s">
        <v>17</v>
      </c>
      <c r="E56" s="11" t="s">
        <v>20</v>
      </c>
      <c r="F56" s="15" t="s">
        <v>445</v>
      </c>
      <c r="G56" s="16"/>
      <c r="H56" s="7" t="s">
        <v>220</v>
      </c>
      <c r="I56" s="7" t="s">
        <v>446</v>
      </c>
      <c r="J56" s="7" t="s">
        <v>186</v>
      </c>
      <c r="K56" s="7" t="s">
        <v>243</v>
      </c>
      <c r="L56" s="7" t="s">
        <v>447</v>
      </c>
      <c r="M56" s="18">
        <v>2.0E7</v>
      </c>
      <c r="N56" s="3">
        <f>STANDARDIZE(M56,Profiling!$C$2, Profiling!$B$2)</f>
        <v>-0.5868338187</v>
      </c>
      <c r="O56" s="18">
        <v>3.66E7</v>
      </c>
      <c r="P56" s="3">
        <f>STANDARDIZE(O56,Profiling!$C$3, Profiling!$B$3)</f>
        <v>-0.6296303657</v>
      </c>
      <c r="Q56" s="3"/>
      <c r="R56" s="3"/>
    </row>
    <row r="57">
      <c r="A57" s="11" t="s">
        <v>448</v>
      </c>
      <c r="B57" s="20">
        <v>42313.0</v>
      </c>
      <c r="C57" s="13" t="s">
        <v>449</v>
      </c>
      <c r="D57" s="11" t="s">
        <v>20</v>
      </c>
      <c r="E57" s="17"/>
      <c r="F57" s="15" t="s">
        <v>450</v>
      </c>
      <c r="G57" s="16"/>
      <c r="H57" s="7" t="s">
        <v>450</v>
      </c>
      <c r="I57" s="7" t="s">
        <v>451</v>
      </c>
      <c r="J57" s="7" t="s">
        <v>452</v>
      </c>
      <c r="K57" s="7" t="s">
        <v>453</v>
      </c>
      <c r="L57" s="7" t="s">
        <v>454</v>
      </c>
      <c r="M57" s="18">
        <v>1.0E7</v>
      </c>
      <c r="N57" s="3">
        <f>STANDARDIZE(M57,Profiling!$C$2, Profiling!$B$2)</f>
        <v>-0.7900916679</v>
      </c>
      <c r="O57" s="18">
        <v>3300000.0</v>
      </c>
      <c r="P57" s="3">
        <f>STANDARDIZE(O57,Profiling!$C$3, Profiling!$B$3)</f>
        <v>-0.8113439047</v>
      </c>
      <c r="Q57" s="3"/>
      <c r="R57" s="3"/>
    </row>
    <row r="58">
      <c r="A58" s="11" t="s">
        <v>455</v>
      </c>
      <c r="B58" s="20">
        <v>41711.0</v>
      </c>
      <c r="C58" s="13" t="s">
        <v>456</v>
      </c>
      <c r="D58" s="11" t="s">
        <v>15</v>
      </c>
      <c r="E58" s="17"/>
      <c r="F58" s="15" t="s">
        <v>36</v>
      </c>
      <c r="G58" s="15" t="s">
        <v>457</v>
      </c>
      <c r="H58" s="7" t="s">
        <v>458</v>
      </c>
      <c r="I58" s="7" t="s">
        <v>459</v>
      </c>
      <c r="J58" s="7" t="s">
        <v>460</v>
      </c>
      <c r="K58" s="7" t="s">
        <v>192</v>
      </c>
      <c r="L58" s="7" t="s">
        <v>461</v>
      </c>
      <c r="M58" s="18">
        <v>1.7E8</v>
      </c>
      <c r="N58" s="3">
        <f>STANDARDIZE(M58,Profiling!$C$2, Profiling!$B$2)</f>
        <v>2.462033919</v>
      </c>
      <c r="O58" s="18">
        <v>7.144E8</v>
      </c>
      <c r="P58" s="3">
        <f>STANDARDIZE(O58,Profiling!$C$3, Profiling!$B$3)</f>
        <v>3.069031397</v>
      </c>
      <c r="Q58" s="3"/>
      <c r="R58" s="3"/>
    </row>
    <row r="59">
      <c r="A59" s="11" t="s">
        <v>462</v>
      </c>
      <c r="B59" s="20">
        <v>42265.0</v>
      </c>
      <c r="C59" s="13" t="s">
        <v>463</v>
      </c>
      <c r="D59" s="11" t="s">
        <v>25</v>
      </c>
      <c r="E59" s="11" t="s">
        <v>19</v>
      </c>
      <c r="F59" s="15" t="s">
        <v>464</v>
      </c>
      <c r="G59" s="16"/>
      <c r="H59" s="7" t="s">
        <v>156</v>
      </c>
      <c r="I59" s="7" t="s">
        <v>465</v>
      </c>
      <c r="J59" s="7" t="s">
        <v>466</v>
      </c>
      <c r="K59" s="7" t="s">
        <v>467</v>
      </c>
      <c r="L59" s="7" t="s">
        <v>468</v>
      </c>
      <c r="M59" s="18">
        <v>2000000.0</v>
      </c>
      <c r="N59" s="3">
        <f>STANDARDIZE(M59,Profiling!$C$2, Profiling!$B$2)</f>
        <v>-0.9526979472</v>
      </c>
      <c r="O59" s="18">
        <v>2800000.0</v>
      </c>
      <c r="P59" s="3">
        <f>STANDARDIZE(O59,Profiling!$C$3, Profiling!$B$3)</f>
        <v>-0.8140723362</v>
      </c>
      <c r="Q59" s="3"/>
      <c r="R59" s="3"/>
    </row>
    <row r="60">
      <c r="A60" s="11" t="s">
        <v>469</v>
      </c>
      <c r="B60" s="20">
        <v>42141.0</v>
      </c>
      <c r="C60" s="13" t="s">
        <v>470</v>
      </c>
      <c r="D60" s="11" t="s">
        <v>20</v>
      </c>
      <c r="E60" s="17"/>
      <c r="F60" s="15" t="s">
        <v>471</v>
      </c>
      <c r="G60" s="16"/>
      <c r="H60" s="7" t="s">
        <v>404</v>
      </c>
      <c r="I60" s="7" t="s">
        <v>205</v>
      </c>
      <c r="J60" s="7" t="s">
        <v>472</v>
      </c>
      <c r="K60" s="7" t="s">
        <v>473</v>
      </c>
      <c r="L60" s="7" t="s">
        <v>474</v>
      </c>
      <c r="M60" s="18">
        <v>1.18E7</v>
      </c>
      <c r="N60" s="3">
        <f>STANDARDIZE(M60,Profiling!$C$2, Profiling!$B$2)</f>
        <v>-0.753505255</v>
      </c>
      <c r="O60" s="18">
        <v>4.03E7</v>
      </c>
      <c r="P60" s="3">
        <f>STANDARDIZE(O60,Profiling!$C$3, Profiling!$B$3)</f>
        <v>-0.6094399725</v>
      </c>
      <c r="Q60" s="3"/>
      <c r="R60" s="3"/>
    </row>
    <row r="61">
      <c r="A61" s="11" t="s">
        <v>475</v>
      </c>
      <c r="B61" s="20">
        <v>42531.0</v>
      </c>
      <c r="C61" s="13" t="s">
        <v>476</v>
      </c>
      <c r="D61" s="11" t="s">
        <v>15</v>
      </c>
      <c r="E61" s="11" t="s">
        <v>17</v>
      </c>
      <c r="F61" s="15" t="s">
        <v>477</v>
      </c>
      <c r="G61" s="16"/>
      <c r="H61" s="7" t="s">
        <v>478</v>
      </c>
      <c r="I61" s="7" t="s">
        <v>479</v>
      </c>
      <c r="J61" s="7" t="s">
        <v>424</v>
      </c>
      <c r="K61" s="7" t="s">
        <v>148</v>
      </c>
      <c r="L61" s="17"/>
      <c r="M61" s="18">
        <v>5.0E7</v>
      </c>
      <c r="N61" s="3">
        <f>STANDARDIZE(M61,Profiling!$C$2, Profiling!$B$2)</f>
        <v>0.02293972887</v>
      </c>
      <c r="O61" s="18">
        <v>2.122E8</v>
      </c>
      <c r="P61" s="3">
        <f>STANDARDIZE(O61,Profiling!$C$3, Profiling!$B$3)</f>
        <v>0.3285947825</v>
      </c>
      <c r="Q61" s="3"/>
      <c r="R61" s="3"/>
    </row>
    <row r="62">
      <c r="A62" s="11" t="s">
        <v>480</v>
      </c>
      <c r="B62" s="20">
        <v>41682.0</v>
      </c>
      <c r="C62" s="13" t="s">
        <v>481</v>
      </c>
      <c r="D62" s="11" t="s">
        <v>20</v>
      </c>
      <c r="E62" s="17"/>
      <c r="F62" s="15" t="s">
        <v>482</v>
      </c>
      <c r="G62" s="16"/>
      <c r="H62" s="7" t="s">
        <v>283</v>
      </c>
      <c r="I62" s="7" t="s">
        <v>483</v>
      </c>
      <c r="J62" s="7" t="s">
        <v>484</v>
      </c>
      <c r="K62" s="7" t="s">
        <v>485</v>
      </c>
      <c r="L62" s="17"/>
      <c r="M62" s="18">
        <v>1.0E7</v>
      </c>
      <c r="N62" s="3">
        <f>STANDARDIZE(M62,Profiling!$C$2, Profiling!$B$2)</f>
        <v>-0.7900916679</v>
      </c>
      <c r="O62" s="18">
        <v>6700000.0</v>
      </c>
      <c r="P62" s="3">
        <f>STANDARDIZE(O62,Profiling!$C$3, Profiling!$B$3)</f>
        <v>-0.7927905704</v>
      </c>
      <c r="Q62" s="3"/>
      <c r="R62" s="3"/>
    </row>
    <row r="63">
      <c r="A63" s="11" t="s">
        <v>486</v>
      </c>
      <c r="B63" s="20">
        <v>42067.0</v>
      </c>
      <c r="C63" s="13" t="s">
        <v>487</v>
      </c>
      <c r="D63" s="11" t="s">
        <v>14</v>
      </c>
      <c r="E63" s="17"/>
      <c r="F63" s="15" t="s">
        <v>488</v>
      </c>
      <c r="G63" s="16"/>
      <c r="H63" s="7" t="s">
        <v>489</v>
      </c>
      <c r="I63" s="7" t="s">
        <v>490</v>
      </c>
      <c r="J63" s="7" t="s">
        <v>491</v>
      </c>
      <c r="K63" s="7" t="s">
        <v>492</v>
      </c>
      <c r="L63" s="7" t="s">
        <v>493</v>
      </c>
      <c r="M63" s="18">
        <v>4.9E7</v>
      </c>
      <c r="N63" s="3">
        <f>STANDARDIZE(M63,Profiling!$C$2, Profiling!$B$2)</f>
        <v>0.002613943954</v>
      </c>
      <c r="O63" s="18">
        <v>1.021E8</v>
      </c>
      <c r="P63" s="3">
        <f>STANDARDIZE(O63,Profiling!$C$3, Profiling!$B$3)</f>
        <v>-0.2722058372</v>
      </c>
      <c r="Q63" s="3"/>
      <c r="R63" s="3"/>
    </row>
    <row r="64">
      <c r="A64" s="11" t="s">
        <v>494</v>
      </c>
      <c r="B64" s="20">
        <v>41208.0</v>
      </c>
      <c r="C64" s="13" t="s">
        <v>495</v>
      </c>
      <c r="D64" s="11" t="s">
        <v>24</v>
      </c>
      <c r="E64" s="11" t="s">
        <v>20</v>
      </c>
      <c r="F64" s="15" t="s">
        <v>496</v>
      </c>
      <c r="G64" s="15" t="s">
        <v>497</v>
      </c>
      <c r="H64" s="7" t="s">
        <v>498</v>
      </c>
      <c r="I64" s="7" t="s">
        <v>499</v>
      </c>
      <c r="J64" s="7" t="s">
        <v>500</v>
      </c>
      <c r="K64" s="7" t="s">
        <v>501</v>
      </c>
      <c r="L64" s="17"/>
      <c r="M64" s="18">
        <v>2.0E7</v>
      </c>
      <c r="N64" s="3">
        <f>STANDARDIZE(M64,Profiling!$C$2, Profiling!$B$2)</f>
        <v>-0.5868338187</v>
      </c>
      <c r="O64" s="18">
        <v>8300000.000000001</v>
      </c>
      <c r="P64" s="3">
        <f>STANDARDIZE(O64,Profiling!$C$3, Profiling!$B$3)</f>
        <v>-0.7840595895</v>
      </c>
      <c r="Q64" s="3"/>
      <c r="R64" s="3"/>
    </row>
    <row r="65">
      <c r="A65" s="11" t="s">
        <v>502</v>
      </c>
      <c r="B65" s="20">
        <v>41705.0</v>
      </c>
      <c r="C65" s="13" t="s">
        <v>503</v>
      </c>
      <c r="D65" s="11" t="s">
        <v>17</v>
      </c>
      <c r="E65" s="17"/>
      <c r="F65" s="15" t="s">
        <v>504</v>
      </c>
      <c r="G65" s="16"/>
      <c r="H65" s="7" t="s">
        <v>504</v>
      </c>
      <c r="I65" s="7" t="s">
        <v>505</v>
      </c>
      <c r="J65" s="7" t="s">
        <v>459</v>
      </c>
      <c r="K65" s="7" t="s">
        <v>253</v>
      </c>
      <c r="L65" s="7" t="s">
        <v>506</v>
      </c>
      <c r="M65" s="18">
        <v>1.1E7</v>
      </c>
      <c r="N65" s="3">
        <f>STANDARDIZE(M65,Profiling!$C$2, Profiling!$B$2)</f>
        <v>-0.769765883</v>
      </c>
      <c r="O65" s="18">
        <v>4.6E7</v>
      </c>
      <c r="P65" s="3">
        <f>STANDARDIZE(O65,Profiling!$C$3, Profiling!$B$3)</f>
        <v>-0.5783358533</v>
      </c>
      <c r="Q65" s="3"/>
      <c r="R65" s="3"/>
    </row>
    <row r="66">
      <c r="A66" s="11" t="s">
        <v>507</v>
      </c>
      <c r="B66" s="20">
        <v>41054.0</v>
      </c>
      <c r="C66" s="13" t="s">
        <v>508</v>
      </c>
      <c r="D66" s="11" t="s">
        <v>18</v>
      </c>
      <c r="E66" s="11" t="s">
        <v>19</v>
      </c>
      <c r="F66" s="15" t="s">
        <v>509</v>
      </c>
      <c r="G66" s="16"/>
      <c r="H66" s="7" t="s">
        <v>510</v>
      </c>
      <c r="I66" s="7" t="s">
        <v>511</v>
      </c>
      <c r="J66" s="7" t="s">
        <v>512</v>
      </c>
      <c r="K66" s="7" t="s">
        <v>513</v>
      </c>
      <c r="L66" s="7" t="s">
        <v>514</v>
      </c>
      <c r="M66" s="18">
        <v>1000000.0</v>
      </c>
      <c r="N66" s="3">
        <f>STANDARDIZE(M66,Profiling!$C$2, Profiling!$B$2)</f>
        <v>-0.9730237321</v>
      </c>
      <c r="O66" s="18">
        <v>3.72E7</v>
      </c>
      <c r="P66" s="3">
        <f>STANDARDIZE(O66,Profiling!$C$3, Profiling!$B$3)</f>
        <v>-0.6263562479</v>
      </c>
      <c r="Q66" s="3"/>
      <c r="R66" s="3"/>
    </row>
    <row r="67">
      <c r="A67" s="11" t="s">
        <v>515</v>
      </c>
      <c r="B67" s="20">
        <v>42111.0</v>
      </c>
      <c r="C67" s="13" t="s">
        <v>516</v>
      </c>
      <c r="D67" s="11" t="s">
        <v>20</v>
      </c>
      <c r="E67" s="17"/>
      <c r="F67" s="15" t="s">
        <v>517</v>
      </c>
      <c r="G67" s="16"/>
      <c r="H67" s="7" t="s">
        <v>518</v>
      </c>
      <c r="I67" s="7" t="s">
        <v>519</v>
      </c>
      <c r="J67" s="7" t="s">
        <v>520</v>
      </c>
      <c r="K67" s="7" t="s">
        <v>521</v>
      </c>
      <c r="L67" s="7" t="s">
        <v>522</v>
      </c>
      <c r="M67" s="18">
        <v>5.0E7</v>
      </c>
      <c r="N67" s="3">
        <f>STANDARDIZE(M67,Profiling!$C$2, Profiling!$B$2)</f>
        <v>0.02293972887</v>
      </c>
      <c r="O67" s="18">
        <v>1.3E7</v>
      </c>
      <c r="P67" s="3">
        <f>STANDARDIZE(O67,Profiling!$C$3, Profiling!$B$3)</f>
        <v>-0.7584123333</v>
      </c>
      <c r="Q67" s="3"/>
      <c r="R67" s="3"/>
    </row>
    <row r="68">
      <c r="A68" s="11" t="s">
        <v>523</v>
      </c>
      <c r="B68" s="20">
        <v>40942.0</v>
      </c>
      <c r="C68" s="13" t="s">
        <v>524</v>
      </c>
      <c r="D68" s="11" t="s">
        <v>14</v>
      </c>
      <c r="E68" s="11" t="s">
        <v>20</v>
      </c>
      <c r="F68" s="15" t="s">
        <v>525</v>
      </c>
      <c r="G68" s="16"/>
      <c r="H68" s="7" t="s">
        <v>526</v>
      </c>
      <c r="I68" s="7" t="s">
        <v>527</v>
      </c>
      <c r="J68" s="7" t="s">
        <v>528</v>
      </c>
      <c r="K68" s="7" t="s">
        <v>529</v>
      </c>
      <c r="L68" s="17"/>
      <c r="M68" s="18">
        <v>1.2E7</v>
      </c>
      <c r="N68" s="3">
        <f>STANDARDIZE(M68,Profiling!$C$2, Profiling!$B$2)</f>
        <v>-0.749440098</v>
      </c>
      <c r="O68" s="18">
        <v>1.266E8</v>
      </c>
      <c r="P68" s="3">
        <f>STANDARDIZE(O68,Profiling!$C$3, Profiling!$B$3)</f>
        <v>-0.138512693</v>
      </c>
      <c r="Q68" s="3"/>
      <c r="R68" s="3"/>
    </row>
    <row r="69">
      <c r="A69" s="11" t="s">
        <v>530</v>
      </c>
      <c r="B69" s="20">
        <v>41208.0</v>
      </c>
      <c r="C69" s="13" t="s">
        <v>531</v>
      </c>
      <c r="D69" s="11" t="s">
        <v>20</v>
      </c>
      <c r="E69" s="11" t="s">
        <v>14</v>
      </c>
      <c r="F69" s="15" t="s">
        <v>532</v>
      </c>
      <c r="G69" s="15" t="s">
        <v>533</v>
      </c>
      <c r="H69" s="7" t="s">
        <v>422</v>
      </c>
      <c r="I69" s="7" t="s">
        <v>534</v>
      </c>
      <c r="J69" s="7" t="s">
        <v>535</v>
      </c>
      <c r="K69" s="7" t="s">
        <v>433</v>
      </c>
      <c r="L69" s="7" t="s">
        <v>536</v>
      </c>
      <c r="M69" s="18">
        <v>1.285E8</v>
      </c>
      <c r="N69" s="3">
        <f>STANDARDIZE(M69,Profiling!$C$2, Profiling!$B$2)</f>
        <v>1.618513845</v>
      </c>
      <c r="O69" s="18">
        <v>1.305E8</v>
      </c>
      <c r="P69" s="3">
        <f>STANDARDIZE(O69,Profiling!$C$3, Profiling!$B$3)</f>
        <v>-0.1172309271</v>
      </c>
      <c r="Q69" s="3"/>
      <c r="R69" s="3"/>
    </row>
    <row r="70">
      <c r="A70" s="11" t="s">
        <v>537</v>
      </c>
      <c r="B70" s="20">
        <v>41544.0</v>
      </c>
      <c r="C70" s="13" t="s">
        <v>538</v>
      </c>
      <c r="D70" s="11" t="s">
        <v>11</v>
      </c>
      <c r="E70" s="11" t="s">
        <v>17</v>
      </c>
      <c r="F70" s="15" t="s">
        <v>539</v>
      </c>
      <c r="G70" s="15" t="s">
        <v>540</v>
      </c>
      <c r="H70" s="7" t="s">
        <v>541</v>
      </c>
      <c r="I70" s="7" t="s">
        <v>542</v>
      </c>
      <c r="J70" s="7" t="s">
        <v>543</v>
      </c>
      <c r="K70" s="7" t="s">
        <v>544</v>
      </c>
      <c r="L70" s="7" t="s">
        <v>545</v>
      </c>
      <c r="M70" s="18">
        <v>7.8E7</v>
      </c>
      <c r="N70" s="3">
        <f>STANDARDIZE(M70,Profiling!$C$2, Profiling!$B$2)</f>
        <v>0.5920617066</v>
      </c>
      <c r="O70" s="18">
        <v>2.743E8</v>
      </c>
      <c r="P70" s="3">
        <f>STANDARDIZE(O70,Profiling!$C$3, Profiling!$B$3)</f>
        <v>0.6674659767</v>
      </c>
      <c r="Q70" s="3"/>
      <c r="R70" s="3"/>
    </row>
    <row r="71">
      <c r="A71" s="11" t="s">
        <v>546</v>
      </c>
      <c r="B71" s="20">
        <v>42363.0</v>
      </c>
      <c r="C71" s="13" t="s">
        <v>547</v>
      </c>
      <c r="D71" s="11" t="s">
        <v>20</v>
      </c>
      <c r="E71" s="11" t="s">
        <v>27</v>
      </c>
      <c r="F71" s="15" t="s">
        <v>548</v>
      </c>
      <c r="G71" s="16"/>
      <c r="H71" s="7" t="s">
        <v>198</v>
      </c>
      <c r="I71" s="7" t="s">
        <v>222</v>
      </c>
      <c r="J71" s="7" t="s">
        <v>368</v>
      </c>
      <c r="K71" s="7" t="s">
        <v>157</v>
      </c>
      <c r="L71" s="7" t="s">
        <v>549</v>
      </c>
      <c r="M71" s="18">
        <v>5.7E7</v>
      </c>
      <c r="N71" s="3">
        <f>STANDARDIZE(M71,Profiling!$C$2, Profiling!$B$2)</f>
        <v>0.1652202233</v>
      </c>
      <c r="O71" s="18">
        <v>5.03E7</v>
      </c>
      <c r="P71" s="3">
        <f>STANDARDIZE(O71,Profiling!$C$3, Profiling!$B$3)</f>
        <v>-0.5548713422</v>
      </c>
      <c r="Q71" s="3"/>
      <c r="R71" s="3"/>
    </row>
    <row r="72">
      <c r="A72" s="11" t="s">
        <v>550</v>
      </c>
      <c r="B72" s="20">
        <v>42333.0</v>
      </c>
      <c r="C72" s="13" t="s">
        <v>551</v>
      </c>
      <c r="D72" s="25" t="s">
        <v>20</v>
      </c>
      <c r="E72" s="11"/>
      <c r="F72" s="15" t="s">
        <v>552</v>
      </c>
      <c r="G72" s="16"/>
      <c r="H72" s="7" t="s">
        <v>527</v>
      </c>
      <c r="I72" s="7" t="s">
        <v>438</v>
      </c>
      <c r="J72" s="7" t="s">
        <v>553</v>
      </c>
      <c r="K72" s="7" t="s">
        <v>554</v>
      </c>
      <c r="L72" s="7" t="s">
        <v>555</v>
      </c>
      <c r="M72" s="18">
        <v>4.0E7</v>
      </c>
      <c r="N72" s="3">
        <f>STANDARDIZE(M72,Profiling!$C$2, Profiling!$B$2)</f>
        <v>-0.1803181203</v>
      </c>
      <c r="O72" s="18">
        <v>1.736E8</v>
      </c>
      <c r="P72" s="3">
        <f>STANDARDIZE(O72,Profiling!$C$3, Profiling!$B$3)</f>
        <v>0.1179598695</v>
      </c>
      <c r="Q72" s="3"/>
      <c r="R72" s="3"/>
    </row>
    <row r="73">
      <c r="A73" s="11" t="s">
        <v>556</v>
      </c>
      <c r="B73" s="20">
        <v>42475.0</v>
      </c>
      <c r="C73" s="13" t="s">
        <v>557</v>
      </c>
      <c r="D73" s="11" t="s">
        <v>15</v>
      </c>
      <c r="E73" s="11" t="s">
        <v>19</v>
      </c>
      <c r="F73" s="15" t="s">
        <v>558</v>
      </c>
      <c r="G73" s="16"/>
      <c r="H73" s="7" t="s">
        <v>559</v>
      </c>
      <c r="I73" s="7" t="s">
        <v>519</v>
      </c>
      <c r="J73" s="7" t="s">
        <v>560</v>
      </c>
      <c r="K73" s="7" t="s">
        <v>561</v>
      </c>
      <c r="L73" s="7" t="s">
        <v>562</v>
      </c>
      <c r="M73" s="18">
        <v>3.15E7</v>
      </c>
      <c r="N73" s="3">
        <f>STANDARDIZE(M73,Profiling!$C$2, Profiling!$B$2)</f>
        <v>-0.3530872921</v>
      </c>
      <c r="O73" s="18">
        <v>3.56E7</v>
      </c>
      <c r="P73" s="3">
        <f>STANDARDIZE(O73,Profiling!$C$3, Profiling!$B$3)</f>
        <v>-0.6350872288</v>
      </c>
      <c r="Q73" s="3"/>
      <c r="R73" s="3"/>
    </row>
    <row r="74">
      <c r="A74" s="11" t="s">
        <v>563</v>
      </c>
      <c r="B74" s="20">
        <v>42293.0</v>
      </c>
      <c r="C74" s="13" t="s">
        <v>564</v>
      </c>
      <c r="D74" s="11" t="s">
        <v>18</v>
      </c>
      <c r="E74" s="11" t="s">
        <v>22</v>
      </c>
      <c r="F74" s="15" t="s">
        <v>565</v>
      </c>
      <c r="G74" s="16"/>
      <c r="H74" s="7" t="s">
        <v>566</v>
      </c>
      <c r="I74" s="7" t="s">
        <v>567</v>
      </c>
      <c r="J74" s="7" t="s">
        <v>568</v>
      </c>
      <c r="K74" s="7" t="s">
        <v>154</v>
      </c>
      <c r="L74" s="7" t="s">
        <v>569</v>
      </c>
      <c r="M74" s="18">
        <v>5.5E7</v>
      </c>
      <c r="N74" s="3">
        <f>STANDARDIZE(M74,Profiling!$C$2, Profiling!$B$2)</f>
        <v>0.1245686535</v>
      </c>
      <c r="O74" s="18">
        <v>7.47E7</v>
      </c>
      <c r="P74" s="3">
        <f>STANDARDIZE(O74,Profiling!$C$3, Profiling!$B$3)</f>
        <v>-0.4217238843</v>
      </c>
      <c r="Q74" s="3"/>
      <c r="R74" s="3"/>
    </row>
    <row r="75">
      <c r="A75" s="11" t="s">
        <v>570</v>
      </c>
      <c r="B75" s="20">
        <v>42363.0</v>
      </c>
      <c r="C75" s="13" t="s">
        <v>571</v>
      </c>
      <c r="D75" s="11" t="s">
        <v>17</v>
      </c>
      <c r="E75" s="17"/>
      <c r="F75" s="15" t="s">
        <v>572</v>
      </c>
      <c r="G75" s="15" t="s">
        <v>573</v>
      </c>
      <c r="H75" s="7" t="s">
        <v>574</v>
      </c>
      <c r="I75" s="7" t="s">
        <v>76</v>
      </c>
      <c r="J75" s="7" t="s">
        <v>575</v>
      </c>
      <c r="K75" s="17"/>
      <c r="L75" s="17"/>
      <c r="M75" s="18">
        <v>6.9E7</v>
      </c>
      <c r="N75" s="3">
        <f>STANDARDIZE(M75,Profiling!$C$2, Profiling!$B$2)</f>
        <v>0.4091296423</v>
      </c>
      <c r="O75" s="18">
        <v>2.404E8</v>
      </c>
      <c r="P75" s="3">
        <f>STANDARDIZE(O75,Profiling!$C$3, Profiling!$B$3)</f>
        <v>0.48247832</v>
      </c>
      <c r="Q75" s="3"/>
      <c r="R75" s="3"/>
    </row>
    <row r="76">
      <c r="A76" s="11" t="s">
        <v>576</v>
      </c>
      <c r="B76" s="20">
        <v>42083.0</v>
      </c>
      <c r="C76" s="13" t="s">
        <v>577</v>
      </c>
      <c r="D76" s="11" t="s">
        <v>17</v>
      </c>
      <c r="E76" s="11" t="s">
        <v>20</v>
      </c>
      <c r="F76" s="15" t="s">
        <v>578</v>
      </c>
      <c r="G76" s="16"/>
      <c r="H76" s="7" t="s">
        <v>579</v>
      </c>
      <c r="I76" s="7" t="s">
        <v>580</v>
      </c>
      <c r="J76" s="7" t="s">
        <v>581</v>
      </c>
      <c r="K76" s="7" t="s">
        <v>276</v>
      </c>
      <c r="L76" s="7" t="s">
        <v>582</v>
      </c>
      <c r="M76" s="18">
        <v>1.0E7</v>
      </c>
      <c r="N76" s="3">
        <f>STANDARDIZE(M76,Profiling!$C$2, Profiling!$B$2)</f>
        <v>-0.7900916679</v>
      </c>
      <c r="O76" s="18">
        <v>8199999.999999999</v>
      </c>
      <c r="P76" s="3">
        <f>STANDARDIZE(O76,Profiling!$C$3, Profiling!$B$3)</f>
        <v>-0.7846052758</v>
      </c>
      <c r="Q76" s="3"/>
      <c r="R76" s="3"/>
    </row>
    <row r="77">
      <c r="A77" s="11" t="s">
        <v>583</v>
      </c>
      <c r="B77" s="20">
        <v>41040.0</v>
      </c>
      <c r="C77" s="13" t="s">
        <v>584</v>
      </c>
      <c r="D77" s="11" t="s">
        <v>17</v>
      </c>
      <c r="E77" s="11" t="s">
        <v>18</v>
      </c>
      <c r="F77" s="15" t="s">
        <v>374</v>
      </c>
      <c r="G77" s="16"/>
      <c r="H77" s="7" t="s">
        <v>382</v>
      </c>
      <c r="I77" s="7" t="s">
        <v>585</v>
      </c>
      <c r="J77" s="7" t="s">
        <v>586</v>
      </c>
      <c r="K77" s="7" t="s">
        <v>97</v>
      </c>
      <c r="L77" s="7" t="s">
        <v>587</v>
      </c>
      <c r="M77" s="18">
        <v>1.5E8</v>
      </c>
      <c r="N77" s="3">
        <f>STANDARDIZE(M77,Profiling!$C$2, Profiling!$B$2)</f>
        <v>2.055518221</v>
      </c>
      <c r="O77" s="18">
        <v>2.455E8</v>
      </c>
      <c r="P77" s="3">
        <f>STANDARDIZE(O77,Profiling!$C$3, Profiling!$B$3)</f>
        <v>0.5103083214</v>
      </c>
      <c r="Q77" s="3"/>
      <c r="R77" s="3"/>
    </row>
    <row r="78">
      <c r="A78" s="11" t="s">
        <v>588</v>
      </c>
      <c r="B78" s="20">
        <v>41327.0</v>
      </c>
      <c r="C78" s="13" t="s">
        <v>589</v>
      </c>
      <c r="D78" s="11" t="s">
        <v>18</v>
      </c>
      <c r="E78" s="11" t="s">
        <v>14</v>
      </c>
      <c r="F78" s="15" t="s">
        <v>590</v>
      </c>
      <c r="G78" s="16"/>
      <c r="H78" s="7" t="s">
        <v>591</v>
      </c>
      <c r="I78" s="7" t="s">
        <v>592</v>
      </c>
      <c r="J78" s="7" t="s">
        <v>593</v>
      </c>
      <c r="K78" s="17"/>
      <c r="L78" s="17"/>
      <c r="M78" s="18">
        <v>3500000.0</v>
      </c>
      <c r="N78" s="3">
        <f>STANDARDIZE(M78,Profiling!$C$2, Profiling!$B$2)</f>
        <v>-0.9222092698</v>
      </c>
      <c r="O78" s="18">
        <v>2.64E7</v>
      </c>
      <c r="P78" s="3">
        <f>STANDARDIZE(O78,Profiling!$C$3, Profiling!$B$3)</f>
        <v>-0.6852903687</v>
      </c>
      <c r="Q78" s="3"/>
      <c r="R78" s="3"/>
    </row>
    <row r="79">
      <c r="A79" s="11" t="s">
        <v>594</v>
      </c>
      <c r="B79" s="20">
        <v>41816.0</v>
      </c>
      <c r="C79" s="13" t="s">
        <v>595</v>
      </c>
      <c r="D79" s="11" t="s">
        <v>15</v>
      </c>
      <c r="E79" s="11" t="s">
        <v>10</v>
      </c>
      <c r="F79" s="15" t="s">
        <v>596</v>
      </c>
      <c r="G79" s="16"/>
      <c r="H79" s="7" t="s">
        <v>597</v>
      </c>
      <c r="I79" s="7" t="s">
        <v>519</v>
      </c>
      <c r="J79" s="7" t="s">
        <v>522</v>
      </c>
      <c r="K79" s="7" t="s">
        <v>598</v>
      </c>
      <c r="L79" s="7" t="s">
        <v>591</v>
      </c>
      <c r="M79" s="18">
        <v>2.35E8</v>
      </c>
      <c r="N79" s="3">
        <f>STANDARDIZE(M79,Profiling!$C$2, Profiling!$B$2)</f>
        <v>3.783209939</v>
      </c>
      <c r="O79" s="18">
        <v>7.106E8</v>
      </c>
      <c r="P79" s="3">
        <f>STANDARDIZE(O79,Profiling!$C$3, Profiling!$B$3)</f>
        <v>3.048295317</v>
      </c>
      <c r="Q79" s="3"/>
      <c r="R79" s="3"/>
    </row>
    <row r="80">
      <c r="A80" s="11" t="s">
        <v>599</v>
      </c>
      <c r="B80" s="20">
        <v>41341.0</v>
      </c>
      <c r="C80" s="13" t="s">
        <v>600</v>
      </c>
      <c r="D80" s="11" t="s">
        <v>15</v>
      </c>
      <c r="E80" s="17"/>
      <c r="F80" s="15" t="s">
        <v>601</v>
      </c>
      <c r="G80" s="16"/>
      <c r="H80" s="7" t="s">
        <v>602</v>
      </c>
      <c r="I80" s="7" t="s">
        <v>521</v>
      </c>
      <c r="J80" s="7" t="s">
        <v>191</v>
      </c>
      <c r="K80" s="7" t="s">
        <v>603</v>
      </c>
      <c r="L80" s="7" t="s">
        <v>604</v>
      </c>
      <c r="M80" s="18">
        <v>3.0E7</v>
      </c>
      <c r="N80" s="3">
        <f>STANDARDIZE(M80,Profiling!$C$2, Profiling!$B$2)</f>
        <v>-0.3835759695</v>
      </c>
      <c r="O80" s="18">
        <v>1.81E7</v>
      </c>
      <c r="P80" s="3">
        <f>STANDARDIZE(O80,Profiling!$C$3, Profiling!$B$3)</f>
        <v>-0.7305823318</v>
      </c>
      <c r="Q80" s="3"/>
      <c r="R80" s="3"/>
    </row>
    <row r="81">
      <c r="A81" s="11" t="s">
        <v>605</v>
      </c>
      <c r="B81" s="20">
        <v>42408.0</v>
      </c>
      <c r="C81" s="13" t="s">
        <v>606</v>
      </c>
      <c r="D81" s="11" t="s">
        <v>15</v>
      </c>
      <c r="E81" s="11"/>
      <c r="F81" s="15" t="s">
        <v>30</v>
      </c>
      <c r="G81" s="16"/>
      <c r="H81" s="7" t="s">
        <v>607</v>
      </c>
      <c r="I81" s="7" t="s">
        <v>608</v>
      </c>
      <c r="J81" s="7" t="s">
        <v>609</v>
      </c>
      <c r="K81" s="7" t="s">
        <v>610</v>
      </c>
      <c r="L81" s="7" t="s">
        <v>611</v>
      </c>
      <c r="M81" s="18">
        <v>5.8E7</v>
      </c>
      <c r="N81" s="3">
        <f>STANDARDIZE(M81,Profiling!$C$2, Profiling!$B$2)</f>
        <v>0.1855460082</v>
      </c>
      <c r="O81" s="18">
        <v>7.826E8</v>
      </c>
      <c r="P81" s="3">
        <f>STANDARDIZE(O81,Profiling!$C$3, Profiling!$B$3)</f>
        <v>3.441189455</v>
      </c>
      <c r="Q81" s="3"/>
      <c r="R81" s="3"/>
    </row>
    <row r="82">
      <c r="A82" s="11" t="s">
        <v>612</v>
      </c>
      <c r="B82" s="20">
        <v>40935.0</v>
      </c>
      <c r="C82" s="13" t="s">
        <v>613</v>
      </c>
      <c r="D82" s="11" t="s">
        <v>22</v>
      </c>
      <c r="E82" s="11" t="s">
        <v>20</v>
      </c>
      <c r="F82" s="15" t="s">
        <v>614</v>
      </c>
      <c r="G82" s="16"/>
      <c r="H82" s="7" t="s">
        <v>615</v>
      </c>
      <c r="I82" s="17"/>
      <c r="J82" s="17"/>
      <c r="K82" s="17"/>
      <c r="L82" s="17"/>
      <c r="M82" s="18">
        <v>1500000.0</v>
      </c>
      <c r="N82" s="3">
        <f>STANDARDIZE(M82,Profiling!$C$2, Profiling!$B$2)</f>
        <v>-0.9628608397</v>
      </c>
      <c r="O82" s="18">
        <v>6500000.0</v>
      </c>
      <c r="P82" s="3">
        <f>STANDARDIZE(O82,Profiling!$C$3, Profiling!$B$3)</f>
        <v>-0.793881943</v>
      </c>
      <c r="Q82" s="3"/>
      <c r="R82" s="3"/>
    </row>
    <row r="83">
      <c r="A83" s="11" t="s">
        <v>616</v>
      </c>
      <c r="B83" s="20">
        <v>41822.0</v>
      </c>
      <c r="C83" s="13" t="s">
        <v>617</v>
      </c>
      <c r="D83" s="11" t="s">
        <v>18</v>
      </c>
      <c r="E83" s="11" t="s">
        <v>19</v>
      </c>
      <c r="F83" s="15" t="s">
        <v>618</v>
      </c>
      <c r="G83" s="27" t="s">
        <v>619</v>
      </c>
      <c r="H83" s="7" t="s">
        <v>620</v>
      </c>
      <c r="I83" s="7" t="s">
        <v>621</v>
      </c>
      <c r="J83" s="7" t="s">
        <v>622</v>
      </c>
      <c r="K83" s="7" t="s">
        <v>623</v>
      </c>
      <c r="L83" s="17"/>
      <c r="M83" s="18">
        <v>3.0E7</v>
      </c>
      <c r="N83" s="3">
        <f>STANDARDIZE(M83,Profiling!$C$2, Profiling!$B$2)</f>
        <v>-0.3835759695</v>
      </c>
      <c r="O83" s="18">
        <v>8.79E7</v>
      </c>
      <c r="P83" s="3">
        <f>STANDARDIZE(O83,Profiling!$C$3, Profiling!$B$3)</f>
        <v>-0.3496932923</v>
      </c>
      <c r="Q83" s="3"/>
      <c r="R83" s="3"/>
    </row>
    <row r="84">
      <c r="A84" s="11" t="s">
        <v>624</v>
      </c>
      <c r="B84" s="20">
        <v>41445.0</v>
      </c>
      <c r="C84" s="13" t="s">
        <v>625</v>
      </c>
      <c r="D84" s="11" t="s">
        <v>17</v>
      </c>
      <c r="E84" s="11" t="s">
        <v>11</v>
      </c>
      <c r="F84" s="15" t="s">
        <v>33</v>
      </c>
      <c r="G84" s="15" t="s">
        <v>626</v>
      </c>
      <c r="H84" s="7" t="s">
        <v>627</v>
      </c>
      <c r="I84" s="7" t="s">
        <v>628</v>
      </c>
      <c r="J84" s="7" t="s">
        <v>629</v>
      </c>
      <c r="K84" s="7" t="s">
        <v>630</v>
      </c>
      <c r="L84" s="7" t="s">
        <v>631</v>
      </c>
      <c r="M84" s="18">
        <v>7.6E7</v>
      </c>
      <c r="N84" s="3">
        <f>STANDARDIZE(M84,Profiling!$C$2, Profiling!$B$2)</f>
        <v>0.5514101368</v>
      </c>
      <c r="O84" s="18">
        <v>9.708E8</v>
      </c>
      <c r="P84" s="3">
        <f>STANDARDIZE(O84,Profiling!$C$3, Profiling!$B$3)</f>
        <v>4.468171078</v>
      </c>
      <c r="Q84" s="3"/>
      <c r="R84" s="3"/>
    </row>
    <row r="85">
      <c r="A85" s="11" t="s">
        <v>632</v>
      </c>
      <c r="B85" s="20">
        <v>41656.0</v>
      </c>
      <c r="C85" s="13" t="s">
        <v>633</v>
      </c>
      <c r="D85" s="11" t="s">
        <v>18</v>
      </c>
      <c r="E85" s="11" t="s">
        <v>19</v>
      </c>
      <c r="F85" s="15" t="s">
        <v>634</v>
      </c>
      <c r="G85" s="15" t="s">
        <v>635</v>
      </c>
      <c r="H85" s="7" t="s">
        <v>636</v>
      </c>
      <c r="I85" s="7" t="s">
        <v>637</v>
      </c>
      <c r="J85" s="7" t="s">
        <v>638</v>
      </c>
      <c r="K85" s="7" t="s">
        <v>639</v>
      </c>
      <c r="L85" s="7" t="s">
        <v>640</v>
      </c>
      <c r="M85" s="18">
        <v>7000000.0</v>
      </c>
      <c r="N85" s="3">
        <f>STANDARDIZE(M85,Profiling!$C$2, Profiling!$B$2)</f>
        <v>-0.8510690226</v>
      </c>
      <c r="O85" s="18">
        <v>3.69E7</v>
      </c>
      <c r="P85" s="3">
        <f>STANDARDIZE(O85,Profiling!$C$3, Profiling!$B$3)</f>
        <v>-0.6279933068</v>
      </c>
      <c r="Q85" s="3"/>
      <c r="R85" s="3"/>
    </row>
    <row r="86">
      <c r="A86" s="11" t="s">
        <v>641</v>
      </c>
      <c r="B86" s="20">
        <v>41124.0</v>
      </c>
      <c r="C86" s="13" t="s">
        <v>642</v>
      </c>
      <c r="D86" s="11" t="s">
        <v>17</v>
      </c>
      <c r="E86" s="11" t="s">
        <v>11</v>
      </c>
      <c r="F86" s="15" t="s">
        <v>643</v>
      </c>
      <c r="G86" s="16"/>
      <c r="H86" s="7" t="s">
        <v>644</v>
      </c>
      <c r="I86" s="7" t="s">
        <v>645</v>
      </c>
      <c r="J86" s="7" t="s">
        <v>646</v>
      </c>
      <c r="K86" s="7" t="s">
        <v>647</v>
      </c>
      <c r="L86" s="7" t="s">
        <v>648</v>
      </c>
      <c r="M86" s="18">
        <v>2.2E7</v>
      </c>
      <c r="N86" s="3">
        <f>STANDARDIZE(M86,Profiling!$C$2, Profiling!$B$2)</f>
        <v>-0.5461822489</v>
      </c>
      <c r="O86" s="18">
        <v>7.71E7</v>
      </c>
      <c r="P86" s="3">
        <f>STANDARDIZE(O86,Profiling!$C$3, Profiling!$B$3)</f>
        <v>-0.408627413</v>
      </c>
      <c r="Q86" s="3"/>
      <c r="R86" s="3"/>
    </row>
    <row r="87">
      <c r="A87" s="11" t="s">
        <v>649</v>
      </c>
      <c r="B87" s="20">
        <v>41716.0</v>
      </c>
      <c r="C87" s="13" t="s">
        <v>650</v>
      </c>
      <c r="D87" s="11" t="s">
        <v>14</v>
      </c>
      <c r="E87" s="11" t="s">
        <v>15</v>
      </c>
      <c r="F87" s="15" t="s">
        <v>651</v>
      </c>
      <c r="G87" s="16"/>
      <c r="H87" s="7" t="s">
        <v>652</v>
      </c>
      <c r="I87" s="7" t="s">
        <v>653</v>
      </c>
      <c r="J87" s="7" t="s">
        <v>654</v>
      </c>
      <c r="K87" s="7" t="s">
        <v>655</v>
      </c>
      <c r="L87" s="7" t="s">
        <v>656</v>
      </c>
      <c r="M87" s="18">
        <v>8.5E7</v>
      </c>
      <c r="N87" s="3">
        <f>STANDARDIZE(M87,Profiling!$C$2, Profiling!$B$2)</f>
        <v>0.734342201</v>
      </c>
      <c r="O87" s="18">
        <v>2.889E8</v>
      </c>
      <c r="P87" s="3">
        <f>STANDARDIZE(O87,Profiling!$C$3, Profiling!$B$3)</f>
        <v>0.747136177</v>
      </c>
      <c r="Q87" s="3"/>
      <c r="R87" s="3"/>
    </row>
    <row r="88">
      <c r="A88" s="11" t="s">
        <v>657</v>
      </c>
      <c r="B88" s="20">
        <v>41268.0</v>
      </c>
      <c r="C88" s="13" t="s">
        <v>658</v>
      </c>
      <c r="D88" s="11" t="s">
        <v>15</v>
      </c>
      <c r="E88" s="11" t="s">
        <v>20</v>
      </c>
      <c r="F88" s="15" t="s">
        <v>659</v>
      </c>
      <c r="G88" s="16"/>
      <c r="H88" s="7" t="s">
        <v>375</v>
      </c>
      <c r="I88" s="7" t="s">
        <v>273</v>
      </c>
      <c r="J88" s="7" t="s">
        <v>660</v>
      </c>
      <c r="K88" s="7" t="s">
        <v>661</v>
      </c>
      <c r="L88" s="7" t="s">
        <v>662</v>
      </c>
      <c r="M88" s="18">
        <v>1.0E8</v>
      </c>
      <c r="N88" s="3">
        <f>STANDARDIZE(M88,Profiling!$C$2, Profiling!$B$2)</f>
        <v>1.039228975</v>
      </c>
      <c r="O88" s="18">
        <v>4.254E8</v>
      </c>
      <c r="P88" s="3">
        <f>STANDARDIZE(O88,Profiling!$C$3, Profiling!$B$3)</f>
        <v>1.491997981</v>
      </c>
      <c r="Q88" s="3"/>
      <c r="R88" s="3"/>
    </row>
    <row r="89">
      <c r="A89" s="11" t="s">
        <v>663</v>
      </c>
      <c r="B89" s="20">
        <v>41894.0</v>
      </c>
      <c r="C89" s="13" t="s">
        <v>664</v>
      </c>
      <c r="D89" s="11" t="s">
        <v>11</v>
      </c>
      <c r="E89" s="17"/>
      <c r="F89" s="15" t="s">
        <v>665</v>
      </c>
      <c r="G89" s="16"/>
      <c r="H89" s="7" t="s">
        <v>666</v>
      </c>
      <c r="I89" s="7" t="s">
        <v>667</v>
      </c>
      <c r="J89" s="7" t="s">
        <v>668</v>
      </c>
      <c r="K89" s="7" t="s">
        <v>669</v>
      </c>
      <c r="L89" s="7" t="s">
        <v>670</v>
      </c>
      <c r="M89" s="18">
        <v>3.6E7</v>
      </c>
      <c r="N89" s="3">
        <f>STANDARDIZE(M89,Profiling!$C$2, Profiling!$B$2)</f>
        <v>-0.26162126</v>
      </c>
      <c r="O89" s="18">
        <v>5.78E7</v>
      </c>
      <c r="P89" s="3">
        <f>STANDARDIZE(O89,Profiling!$C$3, Profiling!$B$3)</f>
        <v>-0.5139448695</v>
      </c>
      <c r="Q89" s="3"/>
      <c r="R89" s="3"/>
    </row>
    <row r="90">
      <c r="A90" s="11" t="s">
        <v>671</v>
      </c>
      <c r="B90" s="20">
        <v>42608.0</v>
      </c>
      <c r="C90" s="13" t="s">
        <v>672</v>
      </c>
      <c r="D90" s="11" t="s">
        <v>19</v>
      </c>
      <c r="E90" s="17"/>
      <c r="F90" s="15" t="s">
        <v>673</v>
      </c>
      <c r="G90" s="16"/>
      <c r="H90" s="7" t="s">
        <v>674</v>
      </c>
      <c r="I90" s="7" t="s">
        <v>675</v>
      </c>
      <c r="J90" s="7" t="s">
        <v>676</v>
      </c>
      <c r="K90" s="17"/>
      <c r="L90" s="17"/>
      <c r="M90" s="18">
        <v>9900000.0</v>
      </c>
      <c r="N90" s="3">
        <f>STANDARDIZE(M90,Profiling!$C$2, Profiling!$B$2)</f>
        <v>-0.7921242464</v>
      </c>
      <c r="O90" s="18">
        <v>2.83E7</v>
      </c>
      <c r="P90" s="3">
        <f>STANDARDIZE(O90,Profiling!$C$3, Profiling!$B$3)</f>
        <v>-0.6749223289</v>
      </c>
      <c r="Q90" s="3"/>
      <c r="R90" s="3"/>
    </row>
    <row r="91">
      <c r="A91" s="11" t="s">
        <v>677</v>
      </c>
      <c r="B91" s="20">
        <v>40970.0</v>
      </c>
      <c r="C91" s="13" t="s">
        <v>678</v>
      </c>
      <c r="D91" s="11" t="s">
        <v>11</v>
      </c>
      <c r="E91" s="17"/>
      <c r="F91" s="15" t="s">
        <v>33</v>
      </c>
      <c r="G91" s="15"/>
      <c r="H91" s="7" t="s">
        <v>679</v>
      </c>
      <c r="I91" s="7" t="s">
        <v>680</v>
      </c>
      <c r="J91" s="7" t="s">
        <v>681</v>
      </c>
      <c r="K91" s="7" t="s">
        <v>682</v>
      </c>
      <c r="L91" s="7" t="s">
        <v>90</v>
      </c>
      <c r="M91" s="18">
        <v>7.0E7</v>
      </c>
      <c r="N91" s="3">
        <f>STANDARDIZE(M91,Profiling!$C$2, Profiling!$B$2)</f>
        <v>0.4294554272</v>
      </c>
      <c r="O91" s="18">
        <v>3.488E8</v>
      </c>
      <c r="P91" s="3">
        <f>STANDARDIZE(O91,Profiling!$C$3, Profiling!$B$3)</f>
        <v>1.074002273</v>
      </c>
      <c r="Q91" s="3"/>
      <c r="R91" s="3"/>
    </row>
    <row r="92">
      <c r="A92" s="11" t="s">
        <v>683</v>
      </c>
      <c r="B92" s="20">
        <v>41922.0</v>
      </c>
      <c r="C92" s="13" t="s">
        <v>684</v>
      </c>
      <c r="D92" s="11" t="s">
        <v>20</v>
      </c>
      <c r="E92" s="11" t="s">
        <v>18</v>
      </c>
      <c r="F92" s="15" t="s">
        <v>685</v>
      </c>
      <c r="G92" s="16"/>
      <c r="H92" s="7" t="s">
        <v>686</v>
      </c>
      <c r="I92" s="7" t="s">
        <v>687</v>
      </c>
      <c r="J92" s="7" t="s">
        <v>688</v>
      </c>
      <c r="K92" s="7" t="s">
        <v>191</v>
      </c>
      <c r="L92" s="7" t="s">
        <v>689</v>
      </c>
      <c r="M92" s="18">
        <v>7.0E7</v>
      </c>
      <c r="N92" s="3">
        <f>STANDARDIZE(M92,Profiling!$C$2, Profiling!$B$2)</f>
        <v>0.4294554272</v>
      </c>
      <c r="O92" s="18">
        <v>2.171E8</v>
      </c>
      <c r="P92" s="3">
        <f>STANDARDIZE(O92,Profiling!$C$3, Profiling!$B$3)</f>
        <v>0.3553334114</v>
      </c>
      <c r="Q92" s="3"/>
      <c r="R92" s="3"/>
    </row>
    <row r="93">
      <c r="A93" s="11" t="s">
        <v>690</v>
      </c>
      <c r="B93" s="20">
        <v>41736.0</v>
      </c>
      <c r="C93" s="13" t="s">
        <v>691</v>
      </c>
      <c r="D93" s="11" t="s">
        <v>20</v>
      </c>
      <c r="E93" s="11" t="s">
        <v>27</v>
      </c>
      <c r="F93" s="15" t="s">
        <v>692</v>
      </c>
      <c r="G93" s="16"/>
      <c r="H93" s="7" t="s">
        <v>559</v>
      </c>
      <c r="I93" s="7" t="s">
        <v>581</v>
      </c>
      <c r="J93" s="7" t="s">
        <v>693</v>
      </c>
      <c r="K93" s="7" t="s">
        <v>694</v>
      </c>
      <c r="L93" s="7" t="s">
        <v>695</v>
      </c>
      <c r="M93" s="18">
        <v>2.5E7</v>
      </c>
      <c r="N93" s="3">
        <f>STANDARDIZE(M93,Profiling!$C$2, Profiling!$B$2)</f>
        <v>-0.4852048941</v>
      </c>
      <c r="O93" s="18">
        <v>2.95E7</v>
      </c>
      <c r="P93" s="3">
        <f>STANDARDIZE(O93,Profiling!$C$3, Profiling!$B$3)</f>
        <v>-0.6683740933</v>
      </c>
      <c r="Q93" s="3"/>
      <c r="R93" s="3"/>
    </row>
    <row r="94">
      <c r="A94" s="11" t="s">
        <v>696</v>
      </c>
      <c r="B94" s="20">
        <v>42053.0</v>
      </c>
      <c r="C94" s="13" t="s">
        <v>697</v>
      </c>
      <c r="D94" s="11" t="s">
        <v>15</v>
      </c>
      <c r="E94" s="17"/>
      <c r="F94" s="15" t="s">
        <v>698</v>
      </c>
      <c r="G94" s="16"/>
      <c r="H94" s="7" t="s">
        <v>699</v>
      </c>
      <c r="I94" s="7" t="s">
        <v>700</v>
      </c>
      <c r="J94" s="7" t="s">
        <v>701</v>
      </c>
      <c r="K94" s="7" t="s">
        <v>702</v>
      </c>
      <c r="L94" s="7" t="s">
        <v>703</v>
      </c>
      <c r="M94" s="18">
        <v>6.5E7</v>
      </c>
      <c r="N94" s="3">
        <f>STANDARDIZE(M94,Profiling!$C$2, Profiling!$B$2)</f>
        <v>0.3278265027</v>
      </c>
      <c r="O94" s="18">
        <v>1.2E8</v>
      </c>
      <c r="P94" s="3">
        <f>STANDARDIZE(O94,Profiling!$C$3, Profiling!$B$3)</f>
        <v>-0.174527989</v>
      </c>
      <c r="Q94" s="3"/>
      <c r="R94" s="3"/>
    </row>
    <row r="95">
      <c r="A95" s="11" t="s">
        <v>704</v>
      </c>
      <c r="B95" s="20">
        <v>41957.0</v>
      </c>
      <c r="C95" s="13" t="s">
        <v>705</v>
      </c>
      <c r="D95" s="11" t="s">
        <v>17</v>
      </c>
      <c r="E95" s="17"/>
      <c r="F95" s="15" t="s">
        <v>706</v>
      </c>
      <c r="G95" s="15" t="s">
        <v>707</v>
      </c>
      <c r="H95" s="7" t="s">
        <v>708</v>
      </c>
      <c r="I95" s="7" t="s">
        <v>709</v>
      </c>
      <c r="J95" s="7" t="s">
        <v>710</v>
      </c>
      <c r="K95" s="7" t="s">
        <v>711</v>
      </c>
      <c r="L95" s="17"/>
      <c r="M95" s="18">
        <v>5.0E7</v>
      </c>
      <c r="N95" s="3">
        <f>STANDARDIZE(M95,Profiling!$C$2, Profiling!$B$2)</f>
        <v>0.02293972887</v>
      </c>
      <c r="O95" s="18">
        <v>1.698E8</v>
      </c>
      <c r="P95" s="3">
        <f>STANDARDIZE(O95,Profiling!$C$3, Profiling!$B$3)</f>
        <v>0.09722378999</v>
      </c>
      <c r="Q95" s="3"/>
      <c r="R95" s="3"/>
    </row>
    <row r="96">
      <c r="A96" s="11" t="s">
        <v>712</v>
      </c>
      <c r="B96" s="20">
        <v>41804.0</v>
      </c>
      <c r="C96" s="13" t="s">
        <v>713</v>
      </c>
      <c r="D96" s="11" t="s">
        <v>14</v>
      </c>
      <c r="E96" s="11" t="s">
        <v>11</v>
      </c>
      <c r="F96" s="15" t="s">
        <v>714</v>
      </c>
      <c r="G96" s="16"/>
      <c r="H96" s="7" t="s">
        <v>715</v>
      </c>
      <c r="I96" s="7" t="s">
        <v>716</v>
      </c>
      <c r="J96" s="7" t="s">
        <v>717</v>
      </c>
      <c r="K96" s="7" t="s">
        <v>718</v>
      </c>
      <c r="L96" s="17"/>
      <c r="M96" s="18">
        <v>1.3E7</v>
      </c>
      <c r="N96" s="3">
        <f>STANDARDIZE(M96,Profiling!$C$2, Profiling!$B$2)</f>
        <v>-0.7291143131</v>
      </c>
      <c r="O96" s="18">
        <v>4.53E7</v>
      </c>
      <c r="P96" s="3">
        <f>STANDARDIZE(O96,Profiling!$C$3, Profiling!$B$3)</f>
        <v>-0.5821556574</v>
      </c>
      <c r="Q96" s="3"/>
      <c r="R96" s="3"/>
    </row>
    <row r="97">
      <c r="A97" s="11" t="s">
        <v>719</v>
      </c>
      <c r="B97" s="20">
        <v>42426.0</v>
      </c>
      <c r="C97" s="13" t="s">
        <v>720</v>
      </c>
      <c r="D97" s="11" t="s">
        <v>20</v>
      </c>
      <c r="E97" s="11" t="s">
        <v>17</v>
      </c>
      <c r="F97" s="15" t="s">
        <v>721</v>
      </c>
      <c r="G97" s="16"/>
      <c r="H97" s="7" t="s">
        <v>722</v>
      </c>
      <c r="I97" s="7" t="s">
        <v>723</v>
      </c>
      <c r="J97" s="7" t="s">
        <v>493</v>
      </c>
      <c r="K97" s="17"/>
      <c r="L97" s="17"/>
      <c r="M97" s="18">
        <v>2.3E7</v>
      </c>
      <c r="N97" s="3">
        <f>STANDARDIZE(M97,Profiling!$C$2, Profiling!$B$2)</f>
        <v>-0.5258564639</v>
      </c>
      <c r="O97" s="18">
        <v>4.62E7</v>
      </c>
      <c r="P97" s="3">
        <f>STANDARDIZE(O97,Profiling!$C$3, Profiling!$B$3)</f>
        <v>-0.5772444806</v>
      </c>
      <c r="Q97" s="3"/>
      <c r="R97" s="3"/>
    </row>
    <row r="98">
      <c r="A98" s="11" t="s">
        <v>724</v>
      </c>
      <c r="B98" s="20">
        <v>41787.0</v>
      </c>
      <c r="C98" s="13" t="s">
        <v>725</v>
      </c>
      <c r="D98" s="11" t="s">
        <v>15</v>
      </c>
      <c r="E98" s="11" t="s">
        <v>14</v>
      </c>
      <c r="F98" s="15" t="s">
        <v>726</v>
      </c>
      <c r="G98" s="16"/>
      <c r="H98" s="7" t="s">
        <v>727</v>
      </c>
      <c r="I98" s="7" t="s">
        <v>728</v>
      </c>
      <c r="J98" s="17"/>
      <c r="K98" s="17"/>
      <c r="L98" s="17"/>
      <c r="M98" s="18">
        <v>1.78E8</v>
      </c>
      <c r="N98" s="3">
        <f>STANDARDIZE(M98,Profiling!$C$2, Profiling!$B$2)</f>
        <v>2.624640198</v>
      </c>
      <c r="O98" s="18">
        <v>3.705E8</v>
      </c>
      <c r="P98" s="3">
        <f>STANDARDIZE(O98,Profiling!$C$3, Profiling!$B$3)</f>
        <v>1.1924162</v>
      </c>
      <c r="Q98" s="3"/>
      <c r="R98" s="3"/>
    </row>
    <row r="99">
      <c r="A99" s="11" t="s">
        <v>729</v>
      </c>
      <c r="B99" s="20">
        <v>41495.0</v>
      </c>
      <c r="C99" s="13" t="s">
        <v>730</v>
      </c>
      <c r="D99" s="11" t="s">
        <v>14</v>
      </c>
      <c r="F99" s="15" t="s">
        <v>488</v>
      </c>
      <c r="G99" s="16"/>
      <c r="H99" s="7" t="s">
        <v>731</v>
      </c>
      <c r="I99" s="7" t="s">
        <v>732</v>
      </c>
      <c r="J99" s="7" t="s">
        <v>489</v>
      </c>
      <c r="K99" s="7" t="s">
        <v>733</v>
      </c>
      <c r="L99" s="7" t="s">
        <v>734</v>
      </c>
      <c r="M99" s="18">
        <v>1.15E8</v>
      </c>
      <c r="N99" s="3">
        <f>STANDARDIZE(M99,Profiling!$C$2, Profiling!$B$2)</f>
        <v>1.344115749</v>
      </c>
      <c r="O99" s="18">
        <v>2.861E8</v>
      </c>
      <c r="P99" s="3">
        <f>STANDARDIZE(O99,Profiling!$C$3, Profiling!$B$3)</f>
        <v>0.7318569605</v>
      </c>
      <c r="Q99" s="3"/>
      <c r="R99" s="3"/>
    </row>
    <row r="100">
      <c r="A100" s="11" t="s">
        <v>735</v>
      </c>
      <c r="B100" s="20">
        <v>42139.0</v>
      </c>
      <c r="C100" s="13" t="s">
        <v>736</v>
      </c>
      <c r="D100" s="11" t="s">
        <v>10</v>
      </c>
      <c r="E100" s="11" t="s">
        <v>20</v>
      </c>
      <c r="F100" s="15" t="s">
        <v>737</v>
      </c>
      <c r="G100" s="16"/>
      <c r="H100" s="7" t="s">
        <v>738</v>
      </c>
      <c r="I100" s="7" t="s">
        <v>739</v>
      </c>
      <c r="J100" s="7" t="s">
        <v>740</v>
      </c>
      <c r="K100" s="17"/>
      <c r="L100" s="17"/>
      <c r="M100" s="18">
        <v>1400000.0</v>
      </c>
      <c r="N100" s="3">
        <f>STANDARDIZE(M100,Profiling!$C$2, Profiling!$B$2)</f>
        <v>-0.9648934182</v>
      </c>
      <c r="O100" s="18">
        <v>2800000.0</v>
      </c>
      <c r="P100" s="3">
        <f>STANDARDIZE(O100,Profiling!$C$3, Profiling!$B$3)</f>
        <v>-0.8140723362</v>
      </c>
      <c r="Q100" s="3"/>
      <c r="R100" s="3"/>
    </row>
    <row r="101">
      <c r="A101" s="11" t="s">
        <v>741</v>
      </c>
      <c r="B101" s="20">
        <v>41173.0</v>
      </c>
      <c r="C101" s="13" t="s">
        <v>742</v>
      </c>
      <c r="D101" s="11" t="s">
        <v>15</v>
      </c>
      <c r="E101" s="11" t="s">
        <v>20</v>
      </c>
      <c r="F101" s="15" t="s">
        <v>743</v>
      </c>
      <c r="G101" s="16"/>
      <c r="H101" s="7" t="s">
        <v>744</v>
      </c>
      <c r="I101" s="7" t="s">
        <v>283</v>
      </c>
      <c r="J101" s="7" t="s">
        <v>745</v>
      </c>
      <c r="K101" s="7" t="s">
        <v>746</v>
      </c>
      <c r="L101" s="7" t="s">
        <v>483</v>
      </c>
      <c r="M101" s="18">
        <v>7000000.0</v>
      </c>
      <c r="N101" s="3">
        <f>STANDARDIZE(M101,Profiling!$C$2, Profiling!$B$2)</f>
        <v>-0.8510690226</v>
      </c>
      <c r="O101" s="18">
        <v>4.81E7</v>
      </c>
      <c r="P101" s="3">
        <f>STANDARDIZE(O101,Profiling!$C$3, Profiling!$B$3)</f>
        <v>-0.5668764409</v>
      </c>
      <c r="Q101" s="3"/>
      <c r="R101" s="3"/>
    </row>
    <row r="102">
      <c r="A102" s="11" t="s">
        <v>747</v>
      </c>
      <c r="B102" s="20">
        <v>41537.0</v>
      </c>
      <c r="C102" s="13" t="s">
        <v>748</v>
      </c>
      <c r="D102" s="11" t="s">
        <v>17</v>
      </c>
      <c r="E102" s="17"/>
      <c r="F102" s="15" t="s">
        <v>749</v>
      </c>
      <c r="G102" s="16"/>
      <c r="H102" s="7" t="s">
        <v>750</v>
      </c>
      <c r="I102" s="7" t="s">
        <v>751</v>
      </c>
      <c r="J102" s="7" t="s">
        <v>146</v>
      </c>
      <c r="K102" s="7" t="s">
        <v>752</v>
      </c>
      <c r="L102" s="7" t="s">
        <v>753</v>
      </c>
      <c r="M102" s="18">
        <v>8000000.0</v>
      </c>
      <c r="N102" s="3">
        <f>STANDARDIZE(M102,Profiling!$C$2, Profiling!$B$2)</f>
        <v>-0.8307432377</v>
      </c>
      <c r="O102" s="18">
        <v>2.53E7</v>
      </c>
      <c r="P102" s="3">
        <f>STANDARDIZE(O102,Profiling!$C$3, Profiling!$B$3)</f>
        <v>-0.691292918</v>
      </c>
      <c r="Q102" s="3"/>
      <c r="R102" s="3"/>
    </row>
    <row r="103">
      <c r="A103" s="11" t="s">
        <v>754</v>
      </c>
      <c r="B103" s="20">
        <v>42151.0</v>
      </c>
      <c r="C103" s="13" t="s">
        <v>755</v>
      </c>
      <c r="D103" s="11" t="s">
        <v>17</v>
      </c>
      <c r="E103" s="17"/>
      <c r="F103" s="15" t="s">
        <v>756</v>
      </c>
      <c r="G103" s="16"/>
      <c r="H103" s="7" t="s">
        <v>757</v>
      </c>
      <c r="I103" s="7" t="s">
        <v>758</v>
      </c>
      <c r="J103" s="7" t="s">
        <v>759</v>
      </c>
      <c r="K103" s="7" t="s">
        <v>760</v>
      </c>
      <c r="L103" s="7" t="s">
        <v>761</v>
      </c>
      <c r="M103" s="18">
        <v>3.9E7</v>
      </c>
      <c r="N103" s="3">
        <f>STANDARDIZE(M103,Profiling!$C$2, Profiling!$B$2)</f>
        <v>-0.2006439052</v>
      </c>
      <c r="O103" s="18">
        <v>4.93E7</v>
      </c>
      <c r="P103" s="3">
        <f>STANDARDIZE(O103,Profiling!$C$3, Profiling!$B$3)</f>
        <v>-0.5603282053</v>
      </c>
      <c r="Q103" s="3"/>
      <c r="R103" s="3"/>
    </row>
    <row r="104">
      <c r="A104" s="11" t="s">
        <v>762</v>
      </c>
      <c r="B104" s="20">
        <v>41418.0</v>
      </c>
      <c r="C104" s="13" t="s">
        <v>763</v>
      </c>
      <c r="D104" s="11" t="s">
        <v>10</v>
      </c>
      <c r="E104" s="11" t="s">
        <v>17</v>
      </c>
      <c r="F104" s="15" t="s">
        <v>764</v>
      </c>
      <c r="G104" s="16"/>
      <c r="H104" s="7" t="s">
        <v>602</v>
      </c>
      <c r="I104" s="7" t="s">
        <v>765</v>
      </c>
      <c r="J104" s="7" t="s">
        <v>766</v>
      </c>
      <c r="K104" s="7" t="s">
        <v>767</v>
      </c>
      <c r="L104" s="7" t="s">
        <v>375</v>
      </c>
      <c r="M104" s="18">
        <v>9.3E7</v>
      </c>
      <c r="N104" s="3">
        <f>STANDARDIZE(M104,Profiling!$C$2, Profiling!$B$2)</f>
        <v>0.8969484804</v>
      </c>
      <c r="O104" s="18">
        <v>2.6839999999999997E8</v>
      </c>
      <c r="P104" s="3">
        <f>STANDARDIZE(O104,Profiling!$C$3, Profiling!$B$3)</f>
        <v>0.6352704848</v>
      </c>
      <c r="Q104" s="3"/>
      <c r="R104" s="3"/>
    </row>
    <row r="105">
      <c r="A105" s="11" t="s">
        <v>768</v>
      </c>
      <c r="B105" s="20">
        <v>41320.0</v>
      </c>
      <c r="C105" s="13" t="s">
        <v>769</v>
      </c>
      <c r="D105" s="11" t="s">
        <v>17</v>
      </c>
      <c r="E105" s="11" t="s">
        <v>11</v>
      </c>
      <c r="F105" s="15" t="s">
        <v>770</v>
      </c>
      <c r="G105" s="16"/>
      <c r="H105" s="7" t="s">
        <v>771</v>
      </c>
      <c r="I105" s="7" t="s">
        <v>772</v>
      </c>
      <c r="J105" s="7" t="s">
        <v>773</v>
      </c>
      <c r="K105" s="7" t="s">
        <v>774</v>
      </c>
      <c r="L105" s="7" t="s">
        <v>775</v>
      </c>
      <c r="M105" s="18">
        <v>4.0E7</v>
      </c>
      <c r="N105" s="3">
        <f>STANDARDIZE(M105,Profiling!$C$2, Profiling!$B$2)</f>
        <v>-0.1803181203</v>
      </c>
      <c r="O105" s="18">
        <v>7.46E7</v>
      </c>
      <c r="P105" s="3">
        <f>STANDARDIZE(O105,Profiling!$C$3, Profiling!$B$3)</f>
        <v>-0.4222695706</v>
      </c>
      <c r="Q105" s="3"/>
      <c r="R105" s="3"/>
    </row>
    <row r="106">
      <c r="A106" s="11" t="s">
        <v>776</v>
      </c>
      <c r="B106" s="20">
        <v>41369.0</v>
      </c>
      <c r="C106" s="13" t="s">
        <v>777</v>
      </c>
      <c r="D106" s="11" t="s">
        <v>18</v>
      </c>
      <c r="E106" s="17"/>
      <c r="F106" s="15" t="s">
        <v>673</v>
      </c>
      <c r="G106" s="16"/>
      <c r="H106" s="7" t="s">
        <v>778</v>
      </c>
      <c r="I106" s="7" t="s">
        <v>779</v>
      </c>
      <c r="J106" s="7" t="s">
        <v>780</v>
      </c>
      <c r="K106" s="7" t="s">
        <v>781</v>
      </c>
      <c r="L106" s="7" t="s">
        <v>782</v>
      </c>
      <c r="M106" s="18">
        <v>1.7E7</v>
      </c>
      <c r="N106" s="3">
        <f>STANDARDIZE(M106,Profiling!$C$2, Profiling!$B$2)</f>
        <v>-0.6478111734</v>
      </c>
      <c r="O106" s="18">
        <v>9.75E7</v>
      </c>
      <c r="P106" s="3">
        <f>STANDARDIZE(O106,Profiling!$C$3, Profiling!$B$3)</f>
        <v>-0.2973074072</v>
      </c>
      <c r="Q106" s="3"/>
      <c r="R106" s="3"/>
    </row>
    <row r="107">
      <c r="A107" s="11" t="s">
        <v>783</v>
      </c>
      <c r="B107" s="20">
        <v>42025.0</v>
      </c>
      <c r="C107" s="13" t="s">
        <v>784</v>
      </c>
      <c r="D107" s="11" t="s">
        <v>14</v>
      </c>
      <c r="E107" s="11" t="s">
        <v>19</v>
      </c>
      <c r="F107" s="15" t="s">
        <v>785</v>
      </c>
      <c r="G107" s="16"/>
      <c r="H107" s="7" t="s">
        <v>432</v>
      </c>
      <c r="I107" s="7" t="s">
        <v>153</v>
      </c>
      <c r="J107" s="7" t="s">
        <v>786</v>
      </c>
      <c r="K107" s="17"/>
      <c r="L107" s="17"/>
      <c r="M107" s="18">
        <v>1.5E7</v>
      </c>
      <c r="N107" s="3">
        <f>STANDARDIZE(M107,Profiling!$C$2, Profiling!$B$2)</f>
        <v>-0.6884627433</v>
      </c>
      <c r="O107" s="18">
        <v>3.69E7</v>
      </c>
      <c r="P107" s="3">
        <f>STANDARDIZE(O107,Profiling!$C$3, Profiling!$B$3)</f>
        <v>-0.6279933068</v>
      </c>
      <c r="Q107" s="3"/>
      <c r="R107" s="3"/>
    </row>
    <row r="108">
      <c r="A108" s="11" t="s">
        <v>787</v>
      </c>
      <c r="B108" s="20">
        <v>42258.0</v>
      </c>
      <c r="C108" s="13" t="s">
        <v>788</v>
      </c>
      <c r="D108" s="11" t="s">
        <v>19</v>
      </c>
      <c r="E108" s="17"/>
      <c r="F108" s="15" t="s">
        <v>789</v>
      </c>
      <c r="G108" s="16"/>
      <c r="H108" s="7" t="s">
        <v>790</v>
      </c>
      <c r="I108" s="7" t="s">
        <v>148</v>
      </c>
      <c r="J108" s="7" t="s">
        <v>791</v>
      </c>
      <c r="K108" s="7" t="s">
        <v>792</v>
      </c>
      <c r="L108" s="17"/>
      <c r="M108" s="18">
        <v>1.3E7</v>
      </c>
      <c r="N108" s="3">
        <f>STANDARDIZE(M108,Profiling!$C$2, Profiling!$B$2)</f>
        <v>-0.7291143131</v>
      </c>
      <c r="O108" s="18">
        <v>3.2799999999999996E7</v>
      </c>
      <c r="P108" s="3">
        <f>STANDARDIZE(O108,Profiling!$C$3, Profiling!$B$3)</f>
        <v>-0.6503664453</v>
      </c>
      <c r="Q108" s="3"/>
      <c r="R108" s="3"/>
    </row>
    <row r="109">
      <c r="A109" s="11" t="s">
        <v>793</v>
      </c>
      <c r="B109" s="20">
        <v>42220.0</v>
      </c>
      <c r="C109" s="13" t="s">
        <v>794</v>
      </c>
      <c r="D109" s="11" t="s">
        <v>15</v>
      </c>
      <c r="E109" s="11" t="s">
        <v>10</v>
      </c>
      <c r="F109" s="15" t="s">
        <v>525</v>
      </c>
      <c r="G109" s="16"/>
      <c r="H109" s="7" t="s">
        <v>795</v>
      </c>
      <c r="I109" s="7" t="s">
        <v>527</v>
      </c>
      <c r="J109" s="7" t="s">
        <v>465</v>
      </c>
      <c r="K109" s="7" t="s">
        <v>796</v>
      </c>
      <c r="L109" s="7" t="s">
        <v>363</v>
      </c>
      <c r="M109" s="18">
        <v>1.2E8</v>
      </c>
      <c r="N109" s="3">
        <f>STANDARDIZE(M109,Profiling!$C$2, Profiling!$B$2)</f>
        <v>1.445744673</v>
      </c>
      <c r="O109" s="18">
        <v>1.68E8</v>
      </c>
      <c r="P109" s="3">
        <f>STANDARDIZE(O109,Profiling!$C$3, Profiling!$B$3)</f>
        <v>0.08740143653</v>
      </c>
      <c r="Q109" s="3"/>
      <c r="R109" s="3"/>
    </row>
    <row r="110">
      <c r="A110" s="11" t="s">
        <v>797</v>
      </c>
      <c r="B110" s="20">
        <v>41411.0</v>
      </c>
      <c r="C110" s="13" t="s">
        <v>798</v>
      </c>
      <c r="D110" s="11" t="s">
        <v>15</v>
      </c>
      <c r="E110" s="17"/>
      <c r="F110" s="15" t="s">
        <v>799</v>
      </c>
      <c r="G110" s="16"/>
      <c r="H110" s="7" t="s">
        <v>800</v>
      </c>
      <c r="I110" s="7" t="s">
        <v>478</v>
      </c>
      <c r="J110" s="7" t="s">
        <v>416</v>
      </c>
      <c r="K110" s="7" t="s">
        <v>801</v>
      </c>
      <c r="L110" s="7" t="s">
        <v>802</v>
      </c>
      <c r="M110" s="18">
        <v>1.6E8</v>
      </c>
      <c r="N110" s="3">
        <f>STANDARDIZE(M110,Profiling!$C$2, Profiling!$B$2)</f>
        <v>2.25877607</v>
      </c>
      <c r="O110" s="18">
        <v>7.887E8</v>
      </c>
      <c r="P110" s="3">
        <f>STANDARDIZE(O110,Profiling!$C$3, Profiling!$B$3)</f>
        <v>3.47447632</v>
      </c>
      <c r="Q110" s="3"/>
      <c r="R110" s="3"/>
    </row>
    <row r="111">
      <c r="A111" s="11" t="s">
        <v>803</v>
      </c>
      <c r="B111" s="20">
        <v>41215.0</v>
      </c>
      <c r="C111" s="13" t="s">
        <v>804</v>
      </c>
      <c r="D111" s="11" t="s">
        <v>20</v>
      </c>
      <c r="E111" s="17"/>
      <c r="F111" s="15" t="s">
        <v>805</v>
      </c>
      <c r="G111" s="16"/>
      <c r="H111" s="7" t="s">
        <v>77</v>
      </c>
      <c r="I111" s="7" t="s">
        <v>806</v>
      </c>
      <c r="J111" s="7" t="s">
        <v>807</v>
      </c>
      <c r="K111" s="7" t="s">
        <v>808</v>
      </c>
      <c r="L111" s="7" t="s">
        <v>61</v>
      </c>
      <c r="M111" s="18">
        <v>3.1E7</v>
      </c>
      <c r="N111" s="3">
        <f>STANDARDIZE(M111,Profiling!$C$2, Profiling!$B$2)</f>
        <v>-0.3632501846</v>
      </c>
      <c r="O111" s="18">
        <v>1.618E8</v>
      </c>
      <c r="P111" s="3">
        <f>STANDARDIZE(O111,Profiling!$C$3, Profiling!$B$3)</f>
        <v>0.05356888574</v>
      </c>
      <c r="Q111" s="3"/>
      <c r="R111" s="3"/>
    </row>
    <row r="112">
      <c r="A112" s="11" t="s">
        <v>809</v>
      </c>
      <c r="B112" s="20">
        <v>42487.0</v>
      </c>
      <c r="C112" s="13" t="s">
        <v>810</v>
      </c>
      <c r="D112" s="11" t="s">
        <v>24</v>
      </c>
      <c r="E112" s="11" t="s">
        <v>17</v>
      </c>
      <c r="F112" s="15" t="s">
        <v>811</v>
      </c>
      <c r="G112" s="16"/>
      <c r="H112" s="7" t="s">
        <v>812</v>
      </c>
      <c r="I112" s="7" t="s">
        <v>813</v>
      </c>
      <c r="J112" s="7" t="s">
        <v>814</v>
      </c>
      <c r="K112" s="7" t="s">
        <v>815</v>
      </c>
      <c r="L112" s="7" t="s">
        <v>816</v>
      </c>
      <c r="M112" s="18">
        <v>1.9E7</v>
      </c>
      <c r="N112" s="3">
        <f>STANDARDIZE(M112,Profiling!$C$2, Profiling!$B$2)</f>
        <v>-0.6071596036</v>
      </c>
      <c r="O112" s="18">
        <v>3.17E7</v>
      </c>
      <c r="P112" s="3">
        <f>STANDARDIZE(O112,Profiling!$C$3, Profiling!$B$3)</f>
        <v>-0.6563689946</v>
      </c>
      <c r="Q112" s="3"/>
      <c r="R112" s="3"/>
    </row>
    <row r="113">
      <c r="A113" s="11" t="s">
        <v>817</v>
      </c>
      <c r="B113" s="20">
        <v>41411.0</v>
      </c>
      <c r="C113" s="13" t="s">
        <v>818</v>
      </c>
      <c r="D113" s="11" t="s">
        <v>20</v>
      </c>
      <c r="E113" s="11" t="s">
        <v>17</v>
      </c>
      <c r="F113" s="15" t="s">
        <v>819</v>
      </c>
      <c r="G113" s="16"/>
      <c r="H113" s="7" t="s">
        <v>820</v>
      </c>
      <c r="I113" s="7" t="s">
        <v>821</v>
      </c>
      <c r="J113" s="7" t="s">
        <v>822</v>
      </c>
      <c r="K113" s="7" t="s">
        <v>823</v>
      </c>
      <c r="L113" s="7" t="s">
        <v>824</v>
      </c>
      <c r="M113" s="18">
        <v>3000000.0</v>
      </c>
      <c r="N113" s="3">
        <f>STANDARDIZE(M113,Profiling!$C$2, Profiling!$B$2)</f>
        <v>-0.9323721623</v>
      </c>
      <c r="O113" s="18">
        <v>1.13E7</v>
      </c>
      <c r="P113" s="3">
        <f>STANDARDIZE(O113,Profiling!$C$3, Profiling!$B$3)</f>
        <v>-0.7676890004</v>
      </c>
      <c r="Q113" s="3"/>
      <c r="R113" s="3"/>
    </row>
    <row r="114">
      <c r="A114" s="11" t="s">
        <v>825</v>
      </c>
      <c r="B114" s="20">
        <v>42537.0</v>
      </c>
      <c r="C114" s="13" t="s">
        <v>826</v>
      </c>
      <c r="D114" s="11" t="s">
        <v>20</v>
      </c>
      <c r="E114" s="11" t="s">
        <v>19</v>
      </c>
      <c r="F114" s="26" t="s">
        <v>827</v>
      </c>
      <c r="G114" s="16" t="s">
        <v>403</v>
      </c>
      <c r="H114" s="7" t="s">
        <v>828</v>
      </c>
      <c r="I114" s="7" t="s">
        <v>368</v>
      </c>
      <c r="J114" s="7" t="s">
        <v>591</v>
      </c>
      <c r="K114" s="7" t="s">
        <v>829</v>
      </c>
      <c r="L114" s="17"/>
      <c r="M114" s="18">
        <v>5.0E7</v>
      </c>
      <c r="N114" s="3">
        <f>STANDARDIZE(M114,Profiling!$C$2, Profiling!$B$2)</f>
        <v>0.02293972887</v>
      </c>
      <c r="O114" s="18">
        <v>2.12E7</v>
      </c>
      <c r="P114" s="3">
        <f>STANDARDIZE(O114,Profiling!$C$3, Profiling!$B$3)</f>
        <v>-0.7136660564</v>
      </c>
      <c r="Q114" s="3"/>
      <c r="R114" s="3"/>
    </row>
    <row r="115">
      <c r="A115" s="25" t="s">
        <v>830</v>
      </c>
      <c r="B115" s="20">
        <v>40977.0</v>
      </c>
      <c r="C115" s="13" t="s">
        <v>831</v>
      </c>
      <c r="D115" s="11" t="s">
        <v>17</v>
      </c>
      <c r="E115" s="11" t="s">
        <v>22</v>
      </c>
      <c r="F115" s="15" t="s">
        <v>832</v>
      </c>
      <c r="G115" s="16"/>
      <c r="H115" s="7" t="s">
        <v>833</v>
      </c>
      <c r="I115" s="7" t="s">
        <v>832</v>
      </c>
      <c r="J115" s="7" t="s">
        <v>834</v>
      </c>
      <c r="K115" s="7" t="s">
        <v>628</v>
      </c>
      <c r="L115" s="7" t="s">
        <v>835</v>
      </c>
      <c r="M115" s="18">
        <v>1.0E7</v>
      </c>
      <c r="N115" s="3">
        <f>STANDARDIZE(M115,Profiling!$C$2, Profiling!$B$2)</f>
        <v>-0.7900916679</v>
      </c>
      <c r="O115" s="18">
        <v>1.22E7</v>
      </c>
      <c r="P115" s="3">
        <f>STANDARDIZE(O115,Profiling!$C$3, Profiling!$B$3)</f>
        <v>-0.7627778237</v>
      </c>
      <c r="Q115" s="3"/>
      <c r="R115" s="3"/>
    </row>
    <row r="116">
      <c r="A116" s="11" t="s">
        <v>836</v>
      </c>
      <c r="B116" s="20">
        <v>41208.0</v>
      </c>
      <c r="C116" s="13" t="s">
        <v>837</v>
      </c>
      <c r="D116" s="11" t="s">
        <v>17</v>
      </c>
      <c r="E116" s="17"/>
      <c r="F116" s="15" t="s">
        <v>838</v>
      </c>
      <c r="G116" s="16"/>
      <c r="H116" s="7" t="s">
        <v>839</v>
      </c>
      <c r="I116" s="7" t="s">
        <v>778</v>
      </c>
      <c r="J116" s="7" t="s">
        <v>840</v>
      </c>
      <c r="K116" s="7" t="s">
        <v>841</v>
      </c>
      <c r="L116" s="7" t="s">
        <v>842</v>
      </c>
      <c r="M116" s="18">
        <v>1.4E7</v>
      </c>
      <c r="N116" s="3">
        <f>STANDARDIZE(M116,Profiling!$C$2, Profiling!$B$2)</f>
        <v>-0.7087885282</v>
      </c>
      <c r="O116" s="18">
        <v>1.14E7</v>
      </c>
      <c r="P116" s="3">
        <f>STANDARDIZE(O116,Profiling!$C$3, Profiling!$B$3)</f>
        <v>-0.7671433141</v>
      </c>
      <c r="Q116" s="3"/>
      <c r="R116" s="3"/>
    </row>
    <row r="117">
      <c r="A117" s="11" t="s">
        <v>843</v>
      </c>
      <c r="B117" s="20">
        <v>41927.0</v>
      </c>
      <c r="C117" s="13" t="s">
        <v>844</v>
      </c>
      <c r="D117" s="11" t="s">
        <v>15</v>
      </c>
      <c r="E117" s="11" t="s">
        <v>20</v>
      </c>
      <c r="F117" s="15" t="s">
        <v>743</v>
      </c>
      <c r="G117" s="16"/>
      <c r="H117" s="7" t="s">
        <v>451</v>
      </c>
      <c r="I117" s="7" t="s">
        <v>845</v>
      </c>
      <c r="J117" s="7" t="s">
        <v>846</v>
      </c>
      <c r="K117" s="7" t="s">
        <v>283</v>
      </c>
      <c r="L117" s="7" t="s">
        <v>847</v>
      </c>
      <c r="M117" s="18">
        <v>6.8E7</v>
      </c>
      <c r="N117" s="3">
        <f>STANDARDIZE(M117,Profiling!$C$2, Profiling!$B$2)</f>
        <v>0.3888038574</v>
      </c>
      <c r="O117" s="18">
        <v>2.118E8</v>
      </c>
      <c r="P117" s="3">
        <f>STANDARDIZE(O117,Profiling!$C$3, Profiling!$B$3)</f>
        <v>0.3264120373</v>
      </c>
      <c r="Q117" s="3"/>
      <c r="R117" s="3"/>
    </row>
    <row r="118">
      <c r="A118" s="11" t="s">
        <v>848</v>
      </c>
      <c r="B118" s="20">
        <v>41360.0</v>
      </c>
      <c r="C118" s="13" t="s">
        <v>849</v>
      </c>
      <c r="D118" s="11" t="s">
        <v>15</v>
      </c>
      <c r="E118" s="11" t="s">
        <v>10</v>
      </c>
      <c r="F118" s="15" t="s">
        <v>850</v>
      </c>
      <c r="G118" s="16"/>
      <c r="H118" s="7" t="s">
        <v>87</v>
      </c>
      <c r="I118" s="7" t="s">
        <v>851</v>
      </c>
      <c r="J118" s="7" t="s">
        <v>478</v>
      </c>
      <c r="K118" s="7" t="s">
        <v>126</v>
      </c>
      <c r="L118" s="7" t="s">
        <v>852</v>
      </c>
      <c r="M118" s="18">
        <v>1.3E8</v>
      </c>
      <c r="N118" s="3">
        <f>STANDARDIZE(M118,Profiling!$C$2, Profiling!$B$2)</f>
        <v>1.649002522</v>
      </c>
      <c r="O118" s="18">
        <v>3.757E8</v>
      </c>
      <c r="P118" s="3">
        <f>STANDARDIZE(O118,Profiling!$C$3, Profiling!$B$3)</f>
        <v>1.220791888</v>
      </c>
      <c r="Q118" s="3"/>
      <c r="R118" s="3"/>
    </row>
    <row r="119">
      <c r="A119" s="11" t="s">
        <v>853</v>
      </c>
      <c r="B119" s="20">
        <v>41285.0</v>
      </c>
      <c r="C119" s="13" t="s">
        <v>854</v>
      </c>
      <c r="D119" s="11" t="s">
        <v>15</v>
      </c>
      <c r="E119" s="11" t="s">
        <v>25</v>
      </c>
      <c r="F119" s="15" t="s">
        <v>855</v>
      </c>
      <c r="G119" s="16"/>
      <c r="H119" s="7" t="s">
        <v>856</v>
      </c>
      <c r="I119" s="7" t="s">
        <v>221</v>
      </c>
      <c r="J119" s="7" t="s">
        <v>857</v>
      </c>
      <c r="K119" s="7" t="s">
        <v>858</v>
      </c>
      <c r="L119" s="7" t="s">
        <v>859</v>
      </c>
      <c r="M119" s="18">
        <v>7.5E7</v>
      </c>
      <c r="N119" s="3">
        <f>STANDARDIZE(M119,Profiling!$C$2, Profiling!$B$2)</f>
        <v>0.5310843518</v>
      </c>
      <c r="O119" s="18">
        <v>1.052E8</v>
      </c>
      <c r="P119" s="3">
        <f>STANDARDIZE(O119,Profiling!$C$3, Profiling!$B$3)</f>
        <v>-0.2552895618</v>
      </c>
      <c r="Q119" s="3"/>
      <c r="R119" s="3"/>
    </row>
    <row r="120">
      <c r="A120" s="11" t="s">
        <v>860</v>
      </c>
      <c r="B120" s="20">
        <v>42090.0</v>
      </c>
      <c r="C120" s="13" t="s">
        <v>861</v>
      </c>
      <c r="D120" s="11" t="s">
        <v>17</v>
      </c>
      <c r="E120" s="17"/>
      <c r="F120" s="15" t="s">
        <v>862</v>
      </c>
      <c r="G120" s="16"/>
      <c r="H120" s="7" t="s">
        <v>574</v>
      </c>
      <c r="I120" s="7" t="s">
        <v>479</v>
      </c>
      <c r="J120" s="7" t="s">
        <v>863</v>
      </c>
      <c r="K120" s="7" t="s">
        <v>864</v>
      </c>
      <c r="L120" s="7" t="s">
        <v>865</v>
      </c>
      <c r="M120" s="18">
        <v>4.0E7</v>
      </c>
      <c r="N120" s="3">
        <f>STANDARDIZE(M120,Profiling!$C$2, Profiling!$B$2)</f>
        <v>-0.1803181203</v>
      </c>
      <c r="O120" s="18">
        <v>1.118E8</v>
      </c>
      <c r="P120" s="3">
        <f>STANDARDIZE(O120,Profiling!$C$3, Profiling!$B$3)</f>
        <v>-0.2192742658</v>
      </c>
      <c r="Q120" s="3"/>
      <c r="R120" s="3"/>
    </row>
    <row r="121">
      <c r="A121" s="11" t="s">
        <v>866</v>
      </c>
      <c r="B121" s="20">
        <v>41852.0</v>
      </c>
      <c r="C121" s="13" t="s">
        <v>867</v>
      </c>
      <c r="D121" s="11" t="s">
        <v>20</v>
      </c>
      <c r="E121" s="11" t="s">
        <v>24</v>
      </c>
      <c r="F121" s="15" t="s">
        <v>868</v>
      </c>
      <c r="G121" s="16"/>
      <c r="H121" s="7" t="s">
        <v>105</v>
      </c>
      <c r="I121" s="7" t="s">
        <v>869</v>
      </c>
      <c r="J121" s="7" t="s">
        <v>870</v>
      </c>
      <c r="K121" s="7" t="s">
        <v>871</v>
      </c>
      <c r="L121" s="7" t="s">
        <v>872</v>
      </c>
      <c r="M121" s="18">
        <v>3.0E7</v>
      </c>
      <c r="N121" s="3">
        <f>STANDARDIZE(M121,Profiling!$C$2, Profiling!$B$2)</f>
        <v>-0.3835759695</v>
      </c>
      <c r="O121" s="18">
        <v>3.34E7</v>
      </c>
      <c r="P121" s="3">
        <f>STANDARDIZE(O121,Profiling!$C$3, Profiling!$B$3)</f>
        <v>-0.6470923274</v>
      </c>
      <c r="Q121" s="3"/>
      <c r="R121" s="3"/>
    </row>
    <row r="122">
      <c r="A122" s="11" t="s">
        <v>873</v>
      </c>
      <c r="B122" s="20">
        <v>41516.0</v>
      </c>
      <c r="C122" s="13" t="s">
        <v>874</v>
      </c>
      <c r="D122" s="11" t="s">
        <v>15</v>
      </c>
      <c r="E122" s="17"/>
      <c r="F122" s="15" t="s">
        <v>875</v>
      </c>
      <c r="G122" s="15" t="s">
        <v>876</v>
      </c>
      <c r="H122" s="7" t="s">
        <v>410</v>
      </c>
      <c r="I122" s="7" t="s">
        <v>877</v>
      </c>
      <c r="J122" s="7" t="s">
        <v>878</v>
      </c>
      <c r="K122" s="7" t="s">
        <v>879</v>
      </c>
      <c r="L122" s="17"/>
      <c r="M122" s="18">
        <v>1.8E7</v>
      </c>
      <c r="N122" s="3">
        <f>STANDARDIZE(M122,Profiling!$C$2, Profiling!$B$2)</f>
        <v>-0.6274853885</v>
      </c>
      <c r="O122" s="18">
        <v>1.18E7</v>
      </c>
      <c r="P122" s="3">
        <f>STANDARDIZE(O122,Profiling!$C$3, Profiling!$B$3)</f>
        <v>-0.7649605689</v>
      </c>
      <c r="Q122" s="3"/>
      <c r="R122" s="3"/>
    </row>
    <row r="123">
      <c r="A123" s="11" t="s">
        <v>880</v>
      </c>
      <c r="B123" s="20">
        <v>40956.0</v>
      </c>
      <c r="C123" s="13" t="s">
        <v>881</v>
      </c>
      <c r="D123" s="11" t="s">
        <v>15</v>
      </c>
      <c r="E123" s="11" t="s">
        <v>13</v>
      </c>
      <c r="F123" s="15" t="s">
        <v>882</v>
      </c>
      <c r="G123" s="15" t="s">
        <v>883</v>
      </c>
      <c r="H123" s="7" t="s">
        <v>884</v>
      </c>
      <c r="I123" s="7" t="s">
        <v>885</v>
      </c>
      <c r="J123" s="7" t="s">
        <v>886</v>
      </c>
      <c r="K123" s="7" t="s">
        <v>887</v>
      </c>
      <c r="L123" s="7" t="s">
        <v>888</v>
      </c>
      <c r="M123" s="18">
        <v>5.7E7</v>
      </c>
      <c r="N123" s="3">
        <f>STANDARDIZE(M123,Profiling!$C$2, Profiling!$B$2)</f>
        <v>0.1652202233</v>
      </c>
      <c r="O123" s="18">
        <v>1.326E8</v>
      </c>
      <c r="P123" s="3">
        <f>STANDARDIZE(O123,Profiling!$C$3, Profiling!$B$3)</f>
        <v>-0.1057715148</v>
      </c>
      <c r="Q123" s="3"/>
      <c r="R123" s="3"/>
    </row>
    <row r="124">
      <c r="A124" s="11" t="s">
        <v>889</v>
      </c>
      <c r="B124" s="20">
        <v>42566.0</v>
      </c>
      <c r="C124" s="13" t="s">
        <v>890</v>
      </c>
      <c r="D124" s="11" t="s">
        <v>17</v>
      </c>
      <c r="E124" s="11" t="s">
        <v>14</v>
      </c>
      <c r="F124" s="15" t="s">
        <v>891</v>
      </c>
      <c r="G124" s="16"/>
      <c r="H124" s="7" t="s">
        <v>892</v>
      </c>
      <c r="I124" s="7" t="s">
        <v>628</v>
      </c>
      <c r="J124" s="7" t="s">
        <v>893</v>
      </c>
      <c r="K124" s="7" t="s">
        <v>894</v>
      </c>
      <c r="L124" s="7" t="s">
        <v>389</v>
      </c>
      <c r="M124" s="18">
        <v>1.44E8</v>
      </c>
      <c r="N124" s="3">
        <f>STANDARDIZE(M124,Profiling!$C$2, Profiling!$B$2)</f>
        <v>1.933563511</v>
      </c>
      <c r="O124" s="18">
        <v>2.175E8</v>
      </c>
      <c r="P124" s="3">
        <f>STANDARDIZE(O124,Profiling!$C$3, Profiling!$B$3)</f>
        <v>0.3575161566</v>
      </c>
      <c r="Q124" s="3"/>
      <c r="R124" s="3"/>
    </row>
    <row r="125">
      <c r="A125" s="11" t="s">
        <v>895</v>
      </c>
      <c r="B125" s="20">
        <v>41719.0</v>
      </c>
      <c r="C125" s="13" t="s">
        <v>896</v>
      </c>
      <c r="D125" s="25" t="s">
        <v>26</v>
      </c>
      <c r="E125" s="17"/>
      <c r="F125" s="15" t="s">
        <v>897</v>
      </c>
      <c r="G125" s="16"/>
      <c r="H125" s="7" t="s">
        <v>898</v>
      </c>
      <c r="I125" s="7" t="s">
        <v>899</v>
      </c>
      <c r="J125" s="7" t="s">
        <v>900</v>
      </c>
      <c r="K125" s="7" t="s">
        <v>901</v>
      </c>
      <c r="L125" s="7" t="s">
        <v>902</v>
      </c>
      <c r="M125" s="18">
        <v>2000000.0</v>
      </c>
      <c r="N125" s="3">
        <f>STANDARDIZE(M125,Profiling!$C$2, Profiling!$B$2)</f>
        <v>-0.9526979472</v>
      </c>
      <c r="O125" s="18">
        <v>6.26E7</v>
      </c>
      <c r="P125" s="3">
        <f>STANDARDIZE(O125,Profiling!$C$3, Profiling!$B$3)</f>
        <v>-0.4877519269</v>
      </c>
      <c r="Q125" s="3"/>
      <c r="R125" s="3"/>
    </row>
    <row r="126">
      <c r="A126" s="11" t="s">
        <v>903</v>
      </c>
      <c r="B126" s="20">
        <v>42461.0</v>
      </c>
      <c r="C126" s="13" t="s">
        <v>904</v>
      </c>
      <c r="D126" s="25" t="s">
        <v>26</v>
      </c>
      <c r="E126" s="17"/>
      <c r="F126" s="15" t="s">
        <v>897</v>
      </c>
      <c r="G126" s="16"/>
      <c r="H126" s="7" t="s">
        <v>905</v>
      </c>
      <c r="I126" s="7" t="s">
        <v>899</v>
      </c>
      <c r="J126" s="7" t="s">
        <v>325</v>
      </c>
      <c r="K126" s="7" t="s">
        <v>906</v>
      </c>
      <c r="L126" s="7" t="s">
        <v>907</v>
      </c>
      <c r="M126" s="18">
        <v>5000000.0</v>
      </c>
      <c r="N126" s="3">
        <f>STANDARDIZE(M126,Profiling!$C$2, Profiling!$B$2)</f>
        <v>-0.8917205925</v>
      </c>
      <c r="O126" s="18">
        <v>2.35E7</v>
      </c>
      <c r="P126" s="3">
        <f>STANDARDIZE(O126,Profiling!$C$3, Profiling!$B$3)</f>
        <v>-0.7011152715</v>
      </c>
      <c r="Q126" s="3"/>
      <c r="R126" s="3"/>
    </row>
    <row r="127">
      <c r="A127" s="11" t="s">
        <v>908</v>
      </c>
      <c r="B127" s="20">
        <v>42425.0</v>
      </c>
      <c r="C127" s="13" t="s">
        <v>909</v>
      </c>
      <c r="D127" s="11" t="s">
        <v>15</v>
      </c>
      <c r="E127" s="11" t="s">
        <v>13</v>
      </c>
      <c r="F127" s="15" t="s">
        <v>910</v>
      </c>
      <c r="G127" s="16"/>
      <c r="H127" s="7" t="s">
        <v>911</v>
      </c>
      <c r="I127" s="7" t="s">
        <v>498</v>
      </c>
      <c r="J127" s="7" t="s">
        <v>912</v>
      </c>
      <c r="K127" s="7" t="s">
        <v>913</v>
      </c>
      <c r="L127" s="7" t="s">
        <v>914</v>
      </c>
      <c r="M127" s="18">
        <v>1.4E8</v>
      </c>
      <c r="N127" s="3">
        <f>STANDARDIZE(M127,Profiling!$C$2, Profiling!$B$2)</f>
        <v>1.852260372</v>
      </c>
      <c r="O127" s="18">
        <v>1.457E8</v>
      </c>
      <c r="P127" s="3">
        <f>STANDARDIZE(O127,Profiling!$C$3, Profiling!$B$3)</f>
        <v>-0.03428660906</v>
      </c>
      <c r="Q127" s="3"/>
      <c r="R127" s="3"/>
    </row>
    <row r="128">
      <c r="A128" s="11" t="s">
        <v>915</v>
      </c>
      <c r="B128" s="20">
        <v>41767.0</v>
      </c>
      <c r="C128" s="13" t="s">
        <v>916</v>
      </c>
      <c r="D128" s="11" t="s">
        <v>15</v>
      </c>
      <c r="E128" s="11" t="s">
        <v>10</v>
      </c>
      <c r="F128" s="15" t="s">
        <v>917</v>
      </c>
      <c r="G128" s="16"/>
      <c r="H128" s="7" t="s">
        <v>918</v>
      </c>
      <c r="I128" s="7" t="s">
        <v>919</v>
      </c>
      <c r="J128" s="7" t="s">
        <v>920</v>
      </c>
      <c r="K128" s="7" t="s">
        <v>288</v>
      </c>
      <c r="L128" s="7" t="s">
        <v>921</v>
      </c>
      <c r="M128" s="18">
        <v>1.6E8</v>
      </c>
      <c r="N128" s="3">
        <f>STANDARDIZE(M128,Profiling!$C$2, Profiling!$B$2)</f>
        <v>2.25877607</v>
      </c>
      <c r="O128" s="18">
        <v>5.29E8</v>
      </c>
      <c r="P128" s="3">
        <f>STANDARDIZE(O128,Profiling!$C$3, Profiling!$B$3)</f>
        <v>2.057328991</v>
      </c>
      <c r="Q128" s="3"/>
      <c r="R128" s="3"/>
    </row>
    <row r="129">
      <c r="A129" s="11" t="s">
        <v>922</v>
      </c>
      <c r="B129" s="20">
        <v>41908.0</v>
      </c>
      <c r="C129" s="13" t="s">
        <v>923</v>
      </c>
      <c r="D129" s="11" t="s">
        <v>16</v>
      </c>
      <c r="E129" s="11" t="s">
        <v>19</v>
      </c>
      <c r="F129" s="15" t="s">
        <v>924</v>
      </c>
      <c r="G129" s="16"/>
      <c r="H129" s="7" t="s">
        <v>286</v>
      </c>
      <c r="I129" s="7" t="s">
        <v>925</v>
      </c>
      <c r="J129" s="7" t="s">
        <v>926</v>
      </c>
      <c r="K129" s="7" t="s">
        <v>212</v>
      </c>
      <c r="L129" s="7" t="s">
        <v>927</v>
      </c>
      <c r="M129" s="18">
        <v>6.1E7</v>
      </c>
      <c r="N129" s="3">
        <f>STANDARDIZE(M129,Profiling!$C$2, Profiling!$B$2)</f>
        <v>0.246523363</v>
      </c>
      <c r="O129" s="18">
        <v>3.693E8</v>
      </c>
      <c r="P129" s="3">
        <f>STANDARDIZE(O129,Profiling!$C$3, Profiling!$B$3)</f>
        <v>1.185867965</v>
      </c>
      <c r="Q129" s="3"/>
      <c r="R129" s="3"/>
    </row>
    <row r="130">
      <c r="A130" s="11" t="s">
        <v>928</v>
      </c>
      <c r="B130" s="20">
        <v>40963.0</v>
      </c>
      <c r="C130" s="13" t="s">
        <v>929</v>
      </c>
      <c r="D130" s="11" t="s">
        <v>22</v>
      </c>
      <c r="E130" s="11" t="s">
        <v>20</v>
      </c>
      <c r="F130" s="15" t="s">
        <v>212</v>
      </c>
      <c r="G130" s="16"/>
      <c r="H130" s="7" t="s">
        <v>212</v>
      </c>
      <c r="I130" s="7" t="s">
        <v>930</v>
      </c>
      <c r="J130" s="7" t="s">
        <v>931</v>
      </c>
      <c r="K130" s="7" t="s">
        <v>932</v>
      </c>
      <c r="L130" s="7" t="s">
        <v>933</v>
      </c>
      <c r="M130" s="18">
        <v>1.4E7</v>
      </c>
      <c r="N130" s="3">
        <f>STANDARDIZE(M130,Profiling!$C$2, Profiling!$B$2)</f>
        <v>-0.7087885282</v>
      </c>
      <c r="O130" s="18">
        <v>3.56E7</v>
      </c>
      <c r="P130" s="3">
        <f>STANDARDIZE(O130,Profiling!$C$3, Profiling!$B$3)</f>
        <v>-0.6350872288</v>
      </c>
      <c r="Q130" s="3"/>
      <c r="R130" s="3"/>
    </row>
    <row r="131">
      <c r="A131" s="11" t="s">
        <v>934</v>
      </c>
      <c r="B131" s="20">
        <v>42282.0</v>
      </c>
      <c r="C131" s="13" t="s">
        <v>935</v>
      </c>
      <c r="D131" s="11" t="s">
        <v>15</v>
      </c>
      <c r="E131" s="11" t="s">
        <v>13</v>
      </c>
      <c r="F131" s="15" t="s">
        <v>936</v>
      </c>
      <c r="G131" s="16"/>
      <c r="H131" s="7" t="s">
        <v>937</v>
      </c>
      <c r="I131" s="7" t="s">
        <v>674</v>
      </c>
      <c r="J131" s="7" t="s">
        <v>938</v>
      </c>
      <c r="K131" s="7" t="s">
        <v>424</v>
      </c>
      <c r="L131" s="7" t="s">
        <v>939</v>
      </c>
      <c r="M131" s="18">
        <v>8.4E7</v>
      </c>
      <c r="N131" s="3">
        <f>STANDARDIZE(M131,Profiling!$C$2, Profiling!$B$2)</f>
        <v>0.7140164161</v>
      </c>
      <c r="O131" s="18">
        <v>1.502E8</v>
      </c>
      <c r="P131" s="3">
        <f>STANDARDIZE(O131,Profiling!$C$3, Profiling!$B$3)</f>
        <v>-0.009730725421</v>
      </c>
      <c r="Q131" s="3"/>
      <c r="R131" s="3"/>
    </row>
    <row r="132">
      <c r="A132" s="11" t="s">
        <v>940</v>
      </c>
      <c r="B132" s="20">
        <v>41467.0</v>
      </c>
      <c r="C132" s="13" t="s">
        <v>941</v>
      </c>
      <c r="D132" s="11" t="s">
        <v>17</v>
      </c>
      <c r="E132" s="17"/>
      <c r="F132" s="15" t="s">
        <v>942</v>
      </c>
      <c r="G132" s="16"/>
      <c r="H132" s="7" t="s">
        <v>396</v>
      </c>
      <c r="I132" s="7" t="s">
        <v>943</v>
      </c>
      <c r="J132" s="7" t="s">
        <v>944</v>
      </c>
      <c r="K132" s="7" t="s">
        <v>945</v>
      </c>
      <c r="L132" s="7" t="s">
        <v>946</v>
      </c>
      <c r="M132" s="18">
        <v>8.0E7</v>
      </c>
      <c r="N132" s="3">
        <f>STANDARDIZE(M132,Profiling!$C$2, Profiling!$B$2)</f>
        <v>0.6327132764</v>
      </c>
      <c r="O132" s="18">
        <v>2.47E8</v>
      </c>
      <c r="P132" s="3">
        <f>STANDARDIZE(O132,Profiling!$C$3, Profiling!$B$3)</f>
        <v>0.518493616</v>
      </c>
      <c r="Q132" s="3"/>
      <c r="R132" s="3"/>
    </row>
    <row r="133">
      <c r="A133" s="11" t="s">
        <v>947</v>
      </c>
      <c r="B133" s="20">
        <v>42405.0</v>
      </c>
      <c r="C133" s="13" t="s">
        <v>948</v>
      </c>
      <c r="D133" s="11" t="s">
        <v>17</v>
      </c>
      <c r="E133" s="17"/>
      <c r="F133" s="15" t="s">
        <v>949</v>
      </c>
      <c r="G133" s="16"/>
      <c r="H133" s="7" t="s">
        <v>858</v>
      </c>
      <c r="I133" s="7" t="s">
        <v>950</v>
      </c>
      <c r="J133" s="7" t="s">
        <v>951</v>
      </c>
      <c r="K133" s="7" t="s">
        <v>952</v>
      </c>
      <c r="L133" s="7" t="s">
        <v>86</v>
      </c>
      <c r="M133" s="18">
        <v>2.2E7</v>
      </c>
      <c r="N133" s="3">
        <f>STANDARDIZE(M133,Profiling!$C$2, Profiling!$B$2)</f>
        <v>-0.5461822489</v>
      </c>
      <c r="O133" s="18">
        <v>2.2E7</v>
      </c>
      <c r="P133" s="3">
        <f>STANDARDIZE(O133,Profiling!$C$3, Profiling!$B$3)</f>
        <v>-0.709300566</v>
      </c>
      <c r="Q133" s="3"/>
      <c r="R133" s="3"/>
    </row>
    <row r="134">
      <c r="A134" s="11" t="s">
        <v>953</v>
      </c>
      <c r="B134" s="20">
        <v>42608.0</v>
      </c>
      <c r="C134" s="13" t="s">
        <v>954</v>
      </c>
      <c r="D134" s="11" t="s">
        <v>24</v>
      </c>
      <c r="E134" s="11" t="s">
        <v>20</v>
      </c>
      <c r="F134" s="15" t="s">
        <v>955</v>
      </c>
      <c r="G134" s="16"/>
      <c r="H134" s="7" t="s">
        <v>621</v>
      </c>
      <c r="I134" s="7" t="s">
        <v>956</v>
      </c>
      <c r="J134" s="7" t="s">
        <v>957</v>
      </c>
      <c r="K134" s="7" t="s">
        <v>958</v>
      </c>
      <c r="L134" s="7" t="s">
        <v>959</v>
      </c>
      <c r="M134" s="18">
        <v>2.0E7</v>
      </c>
      <c r="N134" s="3">
        <f>STANDARDIZE(M134,Profiling!$C$2, Profiling!$B$2)</f>
        <v>-0.5868338187</v>
      </c>
      <c r="O134" s="18">
        <v>1700000.0</v>
      </c>
      <c r="P134" s="3">
        <f>STANDARDIZE(O134,Profiling!$C$3, Profiling!$B$3)</f>
        <v>-0.8200748855</v>
      </c>
      <c r="Q134" s="3"/>
      <c r="R134" s="3"/>
    </row>
    <row r="135">
      <c r="A135" s="11" t="s">
        <v>960</v>
      </c>
      <c r="B135" s="20">
        <v>41291.0</v>
      </c>
      <c r="C135" s="13" t="s">
        <v>961</v>
      </c>
      <c r="D135" s="11" t="s">
        <v>15</v>
      </c>
      <c r="E135" s="11" t="s">
        <v>13</v>
      </c>
      <c r="F135" s="15" t="s">
        <v>962</v>
      </c>
      <c r="G135" s="16"/>
      <c r="H135" s="7" t="s">
        <v>963</v>
      </c>
      <c r="I135" s="7" t="s">
        <v>964</v>
      </c>
      <c r="J135" s="7" t="s">
        <v>965</v>
      </c>
      <c r="K135" s="7" t="s">
        <v>966</v>
      </c>
      <c r="L135" s="7" t="s">
        <v>967</v>
      </c>
      <c r="M135" s="18">
        <v>5.0E7</v>
      </c>
      <c r="N135" s="3">
        <f>STANDARDIZE(M135,Profiling!$C$2, Profiling!$B$2)</f>
        <v>0.02293972887</v>
      </c>
      <c r="O135" s="18">
        <v>2.263E8</v>
      </c>
      <c r="P135" s="3">
        <f>STANDARDIZE(O135,Profiling!$C$3, Profiling!$B$3)</f>
        <v>0.4055365512</v>
      </c>
      <c r="Q135" s="3"/>
      <c r="R135" s="3"/>
    </row>
    <row r="136">
      <c r="A136" s="11" t="s">
        <v>968</v>
      </c>
      <c r="B136" s="20">
        <v>41745.0</v>
      </c>
      <c r="C136" s="13" t="s">
        <v>969</v>
      </c>
      <c r="D136" s="25" t="s">
        <v>26</v>
      </c>
      <c r="E136" s="17"/>
      <c r="F136" s="15" t="s">
        <v>970</v>
      </c>
      <c r="G136" s="16"/>
      <c r="H136" s="7" t="s">
        <v>971</v>
      </c>
      <c r="I136" s="7" t="s">
        <v>972</v>
      </c>
      <c r="J136" s="7" t="s">
        <v>973</v>
      </c>
      <c r="K136" s="7" t="s">
        <v>974</v>
      </c>
      <c r="L136" s="7" t="s">
        <v>975</v>
      </c>
      <c r="M136" s="18">
        <v>1.2E7</v>
      </c>
      <c r="N136" s="3">
        <f>STANDARDIZE(M136,Profiling!$C$2, Profiling!$B$2)</f>
        <v>-0.749440098</v>
      </c>
      <c r="O136" s="18">
        <v>1.013E8</v>
      </c>
      <c r="P136" s="3">
        <f>STANDARDIZE(O136,Profiling!$C$3, Profiling!$B$3)</f>
        <v>-0.2765713276</v>
      </c>
      <c r="Q136" s="3"/>
      <c r="R136" s="3"/>
    </row>
    <row r="137">
      <c r="A137" s="11" t="s">
        <v>976</v>
      </c>
      <c r="B137" s="20">
        <v>41194.0</v>
      </c>
      <c r="C137" s="13" t="s">
        <v>977</v>
      </c>
      <c r="D137" s="11" t="s">
        <v>17</v>
      </c>
      <c r="E137" s="17"/>
      <c r="F137" s="15" t="s">
        <v>395</v>
      </c>
      <c r="G137" s="16"/>
      <c r="H137" s="7" t="s">
        <v>943</v>
      </c>
      <c r="I137" s="7" t="s">
        <v>978</v>
      </c>
      <c r="J137" s="7" t="s">
        <v>979</v>
      </c>
      <c r="K137" s="7" t="s">
        <v>980</v>
      </c>
      <c r="L137" s="17"/>
      <c r="M137" s="18">
        <v>4.2E7</v>
      </c>
      <c r="N137" s="3">
        <f>STANDARDIZE(M137,Profiling!$C$2, Profiling!$B$2)</f>
        <v>-0.1396665505</v>
      </c>
      <c r="O137" s="18">
        <v>7.31E7</v>
      </c>
      <c r="P137" s="3">
        <f>STANDARDIZE(O137,Profiling!$C$3, Profiling!$B$3)</f>
        <v>-0.4304548651</v>
      </c>
      <c r="Q137" s="3"/>
      <c r="R137" s="3"/>
    </row>
    <row r="138">
      <c r="A138" s="11" t="s">
        <v>981</v>
      </c>
      <c r="B138" s="20">
        <v>41143.0</v>
      </c>
      <c r="C138" s="13" t="s">
        <v>982</v>
      </c>
      <c r="D138" s="11" t="s">
        <v>15</v>
      </c>
      <c r="E138" s="11" t="s">
        <v>17</v>
      </c>
      <c r="F138" s="15" t="s">
        <v>983</v>
      </c>
      <c r="G138" s="16"/>
      <c r="H138" s="7" t="s">
        <v>983</v>
      </c>
      <c r="I138" s="7" t="s">
        <v>304</v>
      </c>
      <c r="J138" s="7" t="s">
        <v>220</v>
      </c>
      <c r="K138" s="7" t="s">
        <v>984</v>
      </c>
      <c r="L138" s="7" t="s">
        <v>985</v>
      </c>
      <c r="M138" s="18">
        <v>2000000.0</v>
      </c>
      <c r="N138" s="3">
        <f>STANDARDIZE(M138,Profiling!$C$2, Profiling!$B$2)</f>
        <v>-0.9526979472</v>
      </c>
      <c r="O138" s="18">
        <v>1.45E7</v>
      </c>
      <c r="P138" s="3">
        <f>STANDARDIZE(O138,Profiling!$C$3, Profiling!$B$3)</f>
        <v>-0.7502270387</v>
      </c>
      <c r="Q138" s="3"/>
      <c r="R138" s="3"/>
    </row>
    <row r="139">
      <c r="A139" s="11" t="s">
        <v>986</v>
      </c>
      <c r="B139" s="20">
        <v>42237.0</v>
      </c>
      <c r="C139" s="13" t="s">
        <v>987</v>
      </c>
      <c r="D139" s="11" t="s">
        <v>15</v>
      </c>
      <c r="E139" s="11" t="s">
        <v>19</v>
      </c>
      <c r="F139" s="15" t="s">
        <v>988</v>
      </c>
      <c r="G139" s="16"/>
      <c r="H139" s="7" t="s">
        <v>989</v>
      </c>
      <c r="I139" s="7" t="s">
        <v>990</v>
      </c>
      <c r="J139" s="7" t="s">
        <v>991</v>
      </c>
      <c r="K139" s="7" t="s">
        <v>992</v>
      </c>
      <c r="L139" s="17"/>
      <c r="M139" s="18">
        <v>3.5E7</v>
      </c>
      <c r="N139" s="3">
        <f>STANDARDIZE(M139,Profiling!$C$2, Profiling!$B$2)</f>
        <v>-0.2819470449</v>
      </c>
      <c r="O139" s="18">
        <v>8.23E7</v>
      </c>
      <c r="P139" s="3">
        <f>STANDARDIZE(O139,Profiling!$C$3, Profiling!$B$3)</f>
        <v>-0.3802517252</v>
      </c>
      <c r="Q139" s="3"/>
      <c r="R139" s="3"/>
    </row>
    <row r="140">
      <c r="A140" s="11" t="s">
        <v>993</v>
      </c>
      <c r="B140" s="20">
        <v>42070.0</v>
      </c>
      <c r="C140" s="13" t="s">
        <v>994</v>
      </c>
      <c r="D140" s="11" t="s">
        <v>12</v>
      </c>
      <c r="E140" s="11" t="s">
        <v>17</v>
      </c>
      <c r="F140" s="15" t="s">
        <v>995</v>
      </c>
      <c r="G140" s="16"/>
      <c r="H140" s="7" t="s">
        <v>996</v>
      </c>
      <c r="I140" s="7" t="s">
        <v>340</v>
      </c>
      <c r="J140" s="7" t="s">
        <v>997</v>
      </c>
      <c r="K140" s="7" t="s">
        <v>998</v>
      </c>
      <c r="L140" s="7" t="s">
        <v>999</v>
      </c>
      <c r="M140" s="18">
        <v>1.35E8</v>
      </c>
      <c r="N140" s="3">
        <f>STANDARDIZE(M140,Profiling!$C$2, Profiling!$B$2)</f>
        <v>1.750631447</v>
      </c>
      <c r="O140" s="18">
        <v>3.86E8</v>
      </c>
      <c r="P140" s="3">
        <f>STANDARDIZE(O140,Profiling!$C$3, Profiling!$B$3)</f>
        <v>1.276997577</v>
      </c>
      <c r="Q140" s="3"/>
      <c r="R140" s="3"/>
    </row>
    <row r="141">
      <c r="A141" s="11" t="s">
        <v>1000</v>
      </c>
      <c r="B141" s="20">
        <v>41129.0</v>
      </c>
      <c r="C141" s="13" t="s">
        <v>1001</v>
      </c>
      <c r="D141" s="11" t="s">
        <v>22</v>
      </c>
      <c r="E141" s="11" t="s">
        <v>20</v>
      </c>
      <c r="F141" s="15" t="s">
        <v>1002</v>
      </c>
      <c r="G141" s="16"/>
      <c r="H141" s="7" t="s">
        <v>812</v>
      </c>
      <c r="I141" s="7" t="s">
        <v>560</v>
      </c>
      <c r="J141" s="7" t="s">
        <v>627</v>
      </c>
      <c r="K141" s="7" t="s">
        <v>1003</v>
      </c>
      <c r="L141" s="7" t="s">
        <v>500</v>
      </c>
      <c r="M141" s="18">
        <v>3.0E7</v>
      </c>
      <c r="N141" s="3">
        <f>STANDARDIZE(M141,Profiling!$C$2, Profiling!$B$2)</f>
        <v>-0.3835759695</v>
      </c>
      <c r="O141" s="18">
        <v>1.143E8</v>
      </c>
      <c r="P141" s="3">
        <f>STANDARDIZE(O141,Profiling!$C$3, Profiling!$B$3)</f>
        <v>-0.2056321082</v>
      </c>
      <c r="Q141" s="3"/>
      <c r="R141" s="3"/>
    </row>
    <row r="142">
      <c r="A142" s="11" t="s">
        <v>1004</v>
      </c>
      <c r="B142" s="20">
        <v>41969.0</v>
      </c>
      <c r="C142" s="13" t="s">
        <v>1005</v>
      </c>
      <c r="D142" s="11" t="s">
        <v>17</v>
      </c>
      <c r="E142" s="17"/>
      <c r="F142" s="15" t="s">
        <v>572</v>
      </c>
      <c r="G142" s="16"/>
      <c r="H142" s="7" t="s">
        <v>1006</v>
      </c>
      <c r="I142" s="7" t="s">
        <v>1007</v>
      </c>
      <c r="J142" s="7" t="s">
        <v>767</v>
      </c>
      <c r="K142" s="7" t="s">
        <v>1008</v>
      </c>
      <c r="L142" s="7" t="s">
        <v>1009</v>
      </c>
      <c r="M142" s="18">
        <v>5.7E7</v>
      </c>
      <c r="N142" s="3">
        <f>STANDARDIZE(M142,Profiling!$C$2, Profiling!$B$2)</f>
        <v>0.1652202233</v>
      </c>
      <c r="O142" s="18">
        <v>1.077E8</v>
      </c>
      <c r="P142" s="3">
        <f>STANDARDIZE(O142,Profiling!$C$3, Profiling!$B$3)</f>
        <v>-0.2416474042</v>
      </c>
      <c r="Q142" s="3"/>
      <c r="R142" s="3"/>
    </row>
    <row r="143">
      <c r="A143" s="11" t="s">
        <v>1010</v>
      </c>
      <c r="B143" s="20">
        <v>42132.0</v>
      </c>
      <c r="C143" s="13" t="s">
        <v>1011</v>
      </c>
      <c r="D143" s="11" t="s">
        <v>15</v>
      </c>
      <c r="E143" s="11" t="s">
        <v>17</v>
      </c>
      <c r="F143" s="15" t="s">
        <v>1012</v>
      </c>
      <c r="G143" s="16"/>
      <c r="H143" s="7" t="s">
        <v>1013</v>
      </c>
      <c r="I143" s="7" t="s">
        <v>505</v>
      </c>
      <c r="J143" s="7" t="s">
        <v>1014</v>
      </c>
      <c r="K143" s="7" t="s">
        <v>1015</v>
      </c>
      <c r="L143" s="17"/>
      <c r="M143" s="18">
        <v>3.5E7</v>
      </c>
      <c r="N143" s="3">
        <f>STANDARDIZE(M143,Profiling!$C$2, Profiling!$B$2)</f>
        <v>-0.2819470449</v>
      </c>
      <c r="O143" s="18">
        <v>5.17E7</v>
      </c>
      <c r="P143" s="3">
        <f>STANDARDIZE(O143,Profiling!$C$3, Profiling!$B$3)</f>
        <v>-0.547231734</v>
      </c>
      <c r="Q143" s="3"/>
      <c r="R143" s="3"/>
    </row>
    <row r="144">
      <c r="A144" s="11" t="s">
        <v>1016</v>
      </c>
      <c r="B144" s="20">
        <v>41180.0</v>
      </c>
      <c r="C144" s="13" t="s">
        <v>1017</v>
      </c>
      <c r="D144" s="11" t="s">
        <v>13</v>
      </c>
      <c r="E144" s="17"/>
      <c r="F144" s="15" t="s">
        <v>1018</v>
      </c>
      <c r="G144" s="16"/>
      <c r="H144" s="7" t="s">
        <v>396</v>
      </c>
      <c r="I144" s="7" t="s">
        <v>877</v>
      </c>
      <c r="J144" s="7" t="s">
        <v>543</v>
      </c>
      <c r="K144" s="7" t="s">
        <v>943</v>
      </c>
      <c r="L144" s="7" t="s">
        <v>1019</v>
      </c>
      <c r="M144" s="18">
        <v>8.5E7</v>
      </c>
      <c r="N144" s="3">
        <f>STANDARDIZE(M144,Profiling!$C$2, Profiling!$B$2)</f>
        <v>0.734342201</v>
      </c>
      <c r="O144" s="18">
        <v>3.584E8</v>
      </c>
      <c r="P144" s="3">
        <f>STANDARDIZE(O144,Profiling!$C$3, Profiling!$B$3)</f>
        <v>1.126388158</v>
      </c>
      <c r="Q144" s="3"/>
      <c r="R144" s="3"/>
    </row>
    <row r="145">
      <c r="A145" s="11" t="s">
        <v>1020</v>
      </c>
      <c r="B145" s="20">
        <v>42272.0</v>
      </c>
      <c r="C145" s="13" t="s">
        <v>1021</v>
      </c>
      <c r="D145" s="11" t="s">
        <v>13</v>
      </c>
      <c r="E145" s="11" t="s">
        <v>17</v>
      </c>
      <c r="F145" s="15" t="s">
        <v>1018</v>
      </c>
      <c r="G145" s="16"/>
      <c r="H145" s="7" t="s">
        <v>396</v>
      </c>
      <c r="I145" s="7" t="s">
        <v>543</v>
      </c>
      <c r="J145" s="7" t="s">
        <v>877</v>
      </c>
      <c r="K145" s="7" t="s">
        <v>943</v>
      </c>
      <c r="L145" s="7" t="s">
        <v>1022</v>
      </c>
      <c r="M145" s="18">
        <v>8.0E7</v>
      </c>
      <c r="N145" s="3">
        <f>STANDARDIZE(M145,Profiling!$C$2, Profiling!$B$2)</f>
        <v>0.6327132764</v>
      </c>
      <c r="O145" s="18">
        <v>4.73E8</v>
      </c>
      <c r="P145" s="3">
        <f>STANDARDIZE(O145,Profiling!$C$3, Profiling!$B$3)</f>
        <v>1.751744661</v>
      </c>
      <c r="Q145" s="3"/>
      <c r="R145" s="3"/>
    </row>
    <row r="146">
      <c r="A146" s="11" t="s">
        <v>1023</v>
      </c>
      <c r="B146" s="20">
        <v>41775.0</v>
      </c>
      <c r="C146" s="13" t="s">
        <v>1024</v>
      </c>
      <c r="D146" s="11" t="s">
        <v>11</v>
      </c>
      <c r="E146" s="17"/>
      <c r="F146" s="15" t="s">
        <v>1025</v>
      </c>
      <c r="G146" s="16"/>
      <c r="H146" s="7" t="s">
        <v>1026</v>
      </c>
      <c r="I146" s="7" t="s">
        <v>498</v>
      </c>
      <c r="J146" s="7" t="s">
        <v>1027</v>
      </c>
      <c r="K146" s="7" t="s">
        <v>483</v>
      </c>
      <c r="L146" s="7" t="s">
        <v>86</v>
      </c>
      <c r="M146" s="18">
        <v>1.45E8</v>
      </c>
      <c r="N146" s="3">
        <f>STANDARDIZE(M146,Profiling!$C$2, Profiling!$B$2)</f>
        <v>1.953889296</v>
      </c>
      <c r="O146" s="18">
        <v>6.215E8</v>
      </c>
      <c r="P146" s="3">
        <f>STANDARDIZE(O146,Profiling!$C$3, Profiling!$B$3)</f>
        <v>2.562088821</v>
      </c>
      <c r="Q146" s="3"/>
      <c r="R146" s="3"/>
    </row>
    <row r="147">
      <c r="A147" s="11" t="s">
        <v>1028</v>
      </c>
      <c r="B147" s="20">
        <v>42018.0</v>
      </c>
      <c r="C147" s="13" t="s">
        <v>1029</v>
      </c>
      <c r="D147" s="25" t="s">
        <v>22</v>
      </c>
      <c r="E147" s="11" t="s">
        <v>19</v>
      </c>
      <c r="F147" s="15" t="s">
        <v>1030</v>
      </c>
      <c r="G147" s="16"/>
      <c r="H147" s="7" t="s">
        <v>1031</v>
      </c>
      <c r="I147" s="7" t="s">
        <v>1032</v>
      </c>
      <c r="J147" s="7" t="s">
        <v>1033</v>
      </c>
      <c r="K147" s="7" t="s">
        <v>1034</v>
      </c>
      <c r="L147" s="7" t="s">
        <v>1035</v>
      </c>
      <c r="M147" s="18">
        <v>1.5E7</v>
      </c>
      <c r="N147" s="3">
        <f>STANDARDIZE(M147,Profiling!$C$2, Profiling!$B$2)</f>
        <v>-0.6884627433</v>
      </c>
      <c r="O147" s="18">
        <v>6.5E7</v>
      </c>
      <c r="P147" s="3">
        <f>STANDARDIZE(O147,Profiling!$C$3, Profiling!$B$3)</f>
        <v>-0.4746554557</v>
      </c>
      <c r="Q147" s="3"/>
      <c r="R147" s="3"/>
    </row>
    <row r="148">
      <c r="A148" s="11" t="s">
        <v>1036</v>
      </c>
      <c r="B148" s="20">
        <v>42258.0</v>
      </c>
      <c r="C148" s="13" t="s">
        <v>1037</v>
      </c>
      <c r="D148" s="11" t="s">
        <v>20</v>
      </c>
      <c r="E148" s="11" t="s">
        <v>21</v>
      </c>
      <c r="F148" s="15" t="s">
        <v>1038</v>
      </c>
      <c r="G148" s="27" t="s">
        <v>567</v>
      </c>
      <c r="H148" s="7" t="s">
        <v>920</v>
      </c>
      <c r="J148" s="17"/>
      <c r="K148" s="17"/>
      <c r="L148" s="17"/>
      <c r="M148" s="18">
        <v>1.3E7</v>
      </c>
      <c r="N148" s="3">
        <f>STANDARDIZE(M148,Profiling!$C$2, Profiling!$B$2)</f>
        <v>-0.7291143131</v>
      </c>
      <c r="O148" s="18">
        <v>2600000.0</v>
      </c>
      <c r="P148" s="3">
        <f>STANDARDIZE(O148,Profiling!$C$3, Profiling!$B$3)</f>
        <v>-0.8151637088</v>
      </c>
      <c r="Q148" s="3"/>
      <c r="R148" s="3"/>
    </row>
    <row r="149">
      <c r="A149" s="11" t="s">
        <v>1039</v>
      </c>
      <c r="B149" s="20">
        <v>42573.0</v>
      </c>
      <c r="C149" s="13" t="s">
        <v>1040</v>
      </c>
      <c r="D149" s="11" t="s">
        <v>10</v>
      </c>
      <c r="E149" s="17"/>
      <c r="F149" s="15" t="s">
        <v>1041</v>
      </c>
      <c r="G149" s="15" t="s">
        <v>1042</v>
      </c>
      <c r="H149" s="7" t="s">
        <v>1043</v>
      </c>
      <c r="I149" s="7" t="s">
        <v>253</v>
      </c>
      <c r="J149" s="7" t="s">
        <v>693</v>
      </c>
      <c r="K149" s="7" t="s">
        <v>1044</v>
      </c>
      <c r="L149" s="7" t="s">
        <v>997</v>
      </c>
      <c r="M149" s="18">
        <v>1.05E8</v>
      </c>
      <c r="N149" s="3">
        <f>STANDARDIZE(M149,Profiling!$C$2, Profiling!$B$2)</f>
        <v>1.140857899</v>
      </c>
      <c r="O149" s="18">
        <v>3.683E8</v>
      </c>
      <c r="P149" s="3">
        <f>STANDARDIZE(O149,Profiling!$C$3, Profiling!$B$3)</f>
        <v>1.180411102</v>
      </c>
      <c r="Q149" s="3"/>
      <c r="R149" s="3"/>
    </row>
    <row r="150">
      <c r="A150" s="11" t="s">
        <v>1045</v>
      </c>
      <c r="B150" s="20">
        <v>41103.0</v>
      </c>
      <c r="C150" s="13" t="s">
        <v>1046</v>
      </c>
      <c r="D150" s="11" t="s">
        <v>10</v>
      </c>
      <c r="E150" s="17"/>
      <c r="F150" s="15" t="s">
        <v>1047</v>
      </c>
      <c r="G150" s="15" t="s">
        <v>1041</v>
      </c>
      <c r="H150" s="7" t="s">
        <v>1043</v>
      </c>
      <c r="I150" s="7" t="s">
        <v>253</v>
      </c>
      <c r="J150" s="7" t="s">
        <v>693</v>
      </c>
      <c r="K150" s="7" t="s">
        <v>1044</v>
      </c>
      <c r="L150" s="7" t="s">
        <v>236</v>
      </c>
      <c r="M150" s="18">
        <v>9.5E7</v>
      </c>
      <c r="N150" s="3">
        <f>STANDARDIZE(M150,Profiling!$C$2, Profiling!$B$2)</f>
        <v>0.9376000502</v>
      </c>
      <c r="O150" s="18">
        <v>8.77E8</v>
      </c>
      <c r="P150" s="3">
        <f>STANDARDIZE(O150,Profiling!$C$3, Profiling!$B$3)</f>
        <v>3.956317326</v>
      </c>
      <c r="Q150" s="3"/>
      <c r="R150" s="3"/>
    </row>
    <row r="151">
      <c r="A151" s="11" t="s">
        <v>1048</v>
      </c>
      <c r="B151" s="20">
        <v>41313.0</v>
      </c>
      <c r="C151" s="13" t="s">
        <v>1049</v>
      </c>
      <c r="D151" s="11" t="s">
        <v>15</v>
      </c>
      <c r="E151" s="11" t="s">
        <v>17</v>
      </c>
      <c r="F151" s="15" t="s">
        <v>1050</v>
      </c>
      <c r="G151" s="16"/>
      <c r="H151" s="7" t="s">
        <v>1006</v>
      </c>
      <c r="I151" s="7" t="s">
        <v>892</v>
      </c>
      <c r="J151" s="7" t="s">
        <v>1051</v>
      </c>
      <c r="K151" s="7" t="s">
        <v>1052</v>
      </c>
      <c r="L151" s="7" t="s">
        <v>172</v>
      </c>
      <c r="M151" s="18">
        <v>3.5E7</v>
      </c>
      <c r="N151" s="3">
        <f>STANDARDIZE(M151,Profiling!$C$2, Profiling!$B$2)</f>
        <v>-0.2819470449</v>
      </c>
      <c r="O151" s="18">
        <v>1.74E8</v>
      </c>
      <c r="P151" s="3">
        <f>STANDARDIZE(O151,Profiling!$C$3, Profiling!$B$3)</f>
        <v>0.1201426147</v>
      </c>
      <c r="Q151" s="3"/>
      <c r="R151" s="3"/>
    </row>
    <row r="152">
      <c r="A152" s="11" t="s">
        <v>1053</v>
      </c>
      <c r="B152" s="20">
        <v>41869.0</v>
      </c>
      <c r="C152" s="13" t="s">
        <v>1054</v>
      </c>
      <c r="D152" s="11" t="s">
        <v>20</v>
      </c>
      <c r="E152" s="17"/>
      <c r="F152" s="15" t="s">
        <v>1055</v>
      </c>
      <c r="G152" s="16"/>
      <c r="H152" s="7" t="s">
        <v>1056</v>
      </c>
      <c r="I152" s="7" t="s">
        <v>1057</v>
      </c>
      <c r="J152" s="7" t="s">
        <v>1058</v>
      </c>
      <c r="K152" s="7" t="s">
        <v>1059</v>
      </c>
      <c r="L152" s="7" t="s">
        <v>1060</v>
      </c>
      <c r="M152" s="18">
        <v>1.1E7</v>
      </c>
      <c r="N152" s="3">
        <f>STANDARDIZE(M152,Profiling!$C$2, Profiling!$B$2)</f>
        <v>-0.769765883</v>
      </c>
      <c r="O152" s="18">
        <v>7.89E7</v>
      </c>
      <c r="P152" s="3">
        <f>STANDARDIZE(O152,Profiling!$C$3, Profiling!$B$3)</f>
        <v>-0.3988050595</v>
      </c>
      <c r="Q152" s="3"/>
      <c r="R152" s="3"/>
    </row>
    <row r="153">
      <c r="A153" s="11" t="s">
        <v>1061</v>
      </c>
      <c r="B153" s="20">
        <v>42349.0</v>
      </c>
      <c r="C153" s="13" t="s">
        <v>1062</v>
      </c>
      <c r="D153" s="11" t="s">
        <v>24</v>
      </c>
      <c r="E153" s="17"/>
      <c r="F153" s="15" t="s">
        <v>1063</v>
      </c>
      <c r="G153" s="16"/>
      <c r="H153" s="7" t="s">
        <v>389</v>
      </c>
      <c r="I153" s="7" t="s">
        <v>190</v>
      </c>
      <c r="J153" s="7" t="s">
        <v>1064</v>
      </c>
      <c r="K153" s="7" t="s">
        <v>1065</v>
      </c>
      <c r="L153" s="7" t="s">
        <v>536</v>
      </c>
      <c r="M153" s="18">
        <v>1.0E8</v>
      </c>
      <c r="N153" s="3">
        <f>STANDARDIZE(M153,Profiling!$C$2, Profiling!$B$2)</f>
        <v>1.039228975</v>
      </c>
      <c r="O153" s="18">
        <v>9.39E7</v>
      </c>
      <c r="P153" s="3">
        <f>STANDARDIZE(O153,Profiling!$C$3, Profiling!$B$3)</f>
        <v>-0.3169521141</v>
      </c>
      <c r="Q153" s="3"/>
      <c r="R153" s="3"/>
    </row>
    <row r="154">
      <c r="A154" s="11" t="s">
        <v>1066</v>
      </c>
      <c r="B154" s="20">
        <v>42541.0</v>
      </c>
      <c r="C154" s="13" t="s">
        <v>1067</v>
      </c>
      <c r="D154" s="11" t="s">
        <v>15</v>
      </c>
      <c r="E154" s="11" t="s">
        <v>10</v>
      </c>
      <c r="F154" s="15" t="s">
        <v>1068</v>
      </c>
      <c r="G154" s="16"/>
      <c r="H154" s="7" t="s">
        <v>1069</v>
      </c>
      <c r="I154" s="7" t="s">
        <v>1070</v>
      </c>
      <c r="J154" s="7" t="s">
        <v>1071</v>
      </c>
      <c r="K154" s="7" t="s">
        <v>1072</v>
      </c>
      <c r="L154" s="7" t="s">
        <v>1073</v>
      </c>
      <c r="M154" s="18">
        <v>1.65E8</v>
      </c>
      <c r="N154" s="3">
        <f>STANDARDIZE(M154,Profiling!$C$2, Profiling!$B$2)</f>
        <v>2.360404995</v>
      </c>
      <c r="O154" s="18">
        <v>3.823E8</v>
      </c>
      <c r="P154" s="3">
        <f>STANDARDIZE(O154,Profiling!$C$3, Profiling!$B$3)</f>
        <v>1.256807184</v>
      </c>
      <c r="Q154" s="3"/>
      <c r="R154" s="3"/>
    </row>
    <row r="155">
      <c r="A155" s="11" t="s">
        <v>1074</v>
      </c>
      <c r="B155" s="20">
        <v>41530.0</v>
      </c>
      <c r="C155" s="13" t="s">
        <v>1075</v>
      </c>
      <c r="D155" s="11" t="s">
        <v>18</v>
      </c>
      <c r="E155" s="17"/>
      <c r="F155" s="15" t="s">
        <v>1076</v>
      </c>
      <c r="G155" s="16"/>
      <c r="H155" s="7" t="s">
        <v>1077</v>
      </c>
      <c r="I155" s="7" t="s">
        <v>275</v>
      </c>
      <c r="J155" s="7" t="s">
        <v>1078</v>
      </c>
      <c r="K155" s="7" t="s">
        <v>1079</v>
      </c>
      <c r="L155" s="17"/>
      <c r="M155" s="18">
        <v>5000000.0</v>
      </c>
      <c r="N155" s="3">
        <f>STANDARDIZE(M155,Profiling!$C$2, Profiling!$B$2)</f>
        <v>-0.8917205925</v>
      </c>
      <c r="O155" s="18">
        <v>1.619E8</v>
      </c>
      <c r="P155" s="3">
        <f>STANDARDIZE(O155,Profiling!$C$3, Profiling!$B$3)</f>
        <v>0.05411457204</v>
      </c>
      <c r="Q155" s="3"/>
      <c r="R155" s="3"/>
    </row>
    <row r="156">
      <c r="A156" s="11" t="s">
        <v>1080</v>
      </c>
      <c r="B156" s="20">
        <v>42160.0</v>
      </c>
      <c r="C156" s="13" t="s">
        <v>1081</v>
      </c>
      <c r="D156" s="11" t="s">
        <v>18</v>
      </c>
      <c r="E156" s="17"/>
      <c r="F156" s="15" t="s">
        <v>1082</v>
      </c>
      <c r="G156" s="16"/>
      <c r="H156" s="7" t="s">
        <v>1083</v>
      </c>
      <c r="I156" s="7" t="s">
        <v>1084</v>
      </c>
      <c r="J156" s="7" t="s">
        <v>1085</v>
      </c>
      <c r="K156" s="7" t="s">
        <v>1082</v>
      </c>
      <c r="L156" s="7" t="s">
        <v>1078</v>
      </c>
      <c r="M156" s="18">
        <v>1.1E7</v>
      </c>
      <c r="N156" s="3">
        <f>STANDARDIZE(M156,Profiling!$C$2, Profiling!$B$2)</f>
        <v>-0.769765883</v>
      </c>
      <c r="O156" s="18">
        <v>1.13E8</v>
      </c>
      <c r="P156" s="3">
        <f>STANDARDIZE(O156,Profiling!$C$3, Profiling!$B$3)</f>
        <v>-0.2127260302</v>
      </c>
      <c r="Q156" s="3"/>
      <c r="R156" s="3"/>
    </row>
    <row r="157">
      <c r="A157" s="11" t="s">
        <v>1086</v>
      </c>
      <c r="B157" s="20">
        <v>41938.0</v>
      </c>
      <c r="C157" s="13" t="s">
        <v>1087</v>
      </c>
      <c r="D157" s="11" t="s">
        <v>14</v>
      </c>
      <c r="E157" s="17"/>
      <c r="F157" s="15" t="s">
        <v>39</v>
      </c>
      <c r="G157" s="16"/>
      <c r="H157" s="7" t="s">
        <v>828</v>
      </c>
      <c r="I157" s="7" t="s">
        <v>1088</v>
      </c>
      <c r="J157" s="7" t="s">
        <v>1089</v>
      </c>
      <c r="K157" s="7" t="s">
        <v>154</v>
      </c>
      <c r="L157" s="7" t="s">
        <v>731</v>
      </c>
      <c r="M157" s="18">
        <v>1.65E8</v>
      </c>
      <c r="N157" s="3">
        <f>STANDARDIZE(M157,Profiling!$C$2, Profiling!$B$2)</f>
        <v>2.360404995</v>
      </c>
      <c r="O157" s="18">
        <v>6.751E8</v>
      </c>
      <c r="P157" s="3">
        <f>STANDARDIZE(O157,Profiling!$C$3, Profiling!$B$3)</f>
        <v>2.85457668</v>
      </c>
      <c r="Q157" s="3"/>
      <c r="R157" s="3"/>
    </row>
    <row r="158">
      <c r="A158" s="11" t="s">
        <v>1090</v>
      </c>
      <c r="B158" s="20">
        <v>41859.0</v>
      </c>
      <c r="C158" s="13" t="s">
        <v>1091</v>
      </c>
      <c r="D158" s="11" t="s">
        <v>10</v>
      </c>
      <c r="E158" s="11" t="s">
        <v>19</v>
      </c>
      <c r="F158" s="15" t="s">
        <v>1092</v>
      </c>
      <c r="G158" s="16"/>
      <c r="H158" s="7" t="s">
        <v>1093</v>
      </c>
      <c r="I158" s="7" t="s">
        <v>1094</v>
      </c>
      <c r="J158" s="7" t="s">
        <v>1095</v>
      </c>
      <c r="K158" s="7" t="s">
        <v>1096</v>
      </c>
      <c r="L158" s="17"/>
      <c r="M158" s="18">
        <v>5.0E7</v>
      </c>
      <c r="N158" s="3">
        <f>STANDARDIZE(M158,Profiling!$C$2, Profiling!$B$2)</f>
        <v>0.02293972887</v>
      </c>
      <c r="O158" s="18">
        <v>1.617E8</v>
      </c>
      <c r="P158" s="3">
        <f>STANDARDIZE(O158,Profiling!$C$3, Profiling!$B$3)</f>
        <v>0.05302319944</v>
      </c>
      <c r="Q158" s="3"/>
      <c r="R158" s="3"/>
    </row>
    <row r="159">
      <c r="A159" s="11" t="s">
        <v>1097</v>
      </c>
      <c r="B159" s="20">
        <v>41115.0</v>
      </c>
      <c r="C159" s="13" t="s">
        <v>1098</v>
      </c>
      <c r="D159" s="11" t="s">
        <v>17</v>
      </c>
      <c r="E159" s="11" t="s">
        <v>14</v>
      </c>
      <c r="F159" s="15" t="s">
        <v>1099</v>
      </c>
      <c r="G159" s="16"/>
      <c r="H159" s="7" t="s">
        <v>1100</v>
      </c>
      <c r="I159" s="7" t="s">
        <v>1101</v>
      </c>
      <c r="J159" s="7" t="s">
        <v>1102</v>
      </c>
      <c r="K159" s="7" t="s">
        <v>1103</v>
      </c>
      <c r="L159" s="7" t="s">
        <v>1104</v>
      </c>
      <c r="M159" s="18">
        <v>7500000.0</v>
      </c>
      <c r="N159" s="3">
        <f>STANDARDIZE(M159,Profiling!$C$2, Profiling!$B$2)</f>
        <v>-0.8409061302</v>
      </c>
      <c r="O159" s="18">
        <v>8100000.0</v>
      </c>
      <c r="P159" s="3">
        <f>STANDARDIZE(O159,Profiling!$C$3, Profiling!$B$3)</f>
        <v>-0.7851509621</v>
      </c>
      <c r="Q159" s="3"/>
      <c r="R159" s="3"/>
    </row>
    <row r="160">
      <c r="A160" s="11" t="s">
        <v>1105</v>
      </c>
      <c r="B160" s="20">
        <v>42140.0</v>
      </c>
      <c r="C160" s="13" t="s">
        <v>1106</v>
      </c>
      <c r="D160" s="11" t="s">
        <v>16</v>
      </c>
      <c r="E160" s="11" t="s">
        <v>20</v>
      </c>
      <c r="F160" s="15" t="s">
        <v>402</v>
      </c>
      <c r="G160" s="16"/>
      <c r="H160" s="7" t="s">
        <v>1107</v>
      </c>
      <c r="I160" s="7" t="s">
        <v>221</v>
      </c>
      <c r="J160" s="7" t="s">
        <v>1108</v>
      </c>
      <c r="K160" s="7" t="s">
        <v>1060</v>
      </c>
      <c r="L160" s="17"/>
      <c r="M160" s="18">
        <v>1.1E7</v>
      </c>
      <c r="N160" s="3">
        <f>STANDARDIZE(M160,Profiling!$C$2, Profiling!$B$2)</f>
        <v>-0.769765883</v>
      </c>
      <c r="O160" s="18">
        <v>2.74E7</v>
      </c>
      <c r="P160" s="3">
        <f>STANDARDIZE(O160,Profiling!$C$3, Profiling!$B$3)</f>
        <v>-0.6798335056</v>
      </c>
      <c r="Q160" s="3"/>
      <c r="R160" s="3"/>
    </row>
    <row r="161">
      <c r="A161" s="11" t="s">
        <v>1109</v>
      </c>
      <c r="B161" s="20">
        <v>41264.0</v>
      </c>
      <c r="C161" s="13" t="s">
        <v>1110</v>
      </c>
      <c r="D161" s="11" t="s">
        <v>15</v>
      </c>
      <c r="E161" s="11" t="s">
        <v>20</v>
      </c>
      <c r="F161" s="15" t="s">
        <v>1111</v>
      </c>
      <c r="G161" s="16"/>
      <c r="H161" s="7" t="s">
        <v>727</v>
      </c>
      <c r="I161" s="7" t="s">
        <v>925</v>
      </c>
      <c r="J161" s="7" t="s">
        <v>156</v>
      </c>
      <c r="K161" s="7" t="s">
        <v>1112</v>
      </c>
      <c r="L161" s="7" t="s">
        <v>1113</v>
      </c>
      <c r="M161" s="18">
        <v>6.0E7</v>
      </c>
      <c r="N161" s="3">
        <f>STANDARDIZE(M161,Profiling!$C$2, Profiling!$B$2)</f>
        <v>0.2261975781</v>
      </c>
      <c r="O161" s="18">
        <v>2.183E8</v>
      </c>
      <c r="P161" s="3">
        <f>STANDARDIZE(O161,Profiling!$C$3, Profiling!$B$3)</f>
        <v>0.361881647</v>
      </c>
      <c r="Q161" s="3"/>
      <c r="R161" s="3"/>
    </row>
    <row r="162">
      <c r="A162" s="11" t="s">
        <v>1114</v>
      </c>
      <c r="B162" s="20">
        <v>41654.0</v>
      </c>
      <c r="C162" s="13" t="s">
        <v>1115</v>
      </c>
      <c r="D162" s="11" t="s">
        <v>15</v>
      </c>
      <c r="E162" s="11" t="s">
        <v>10</v>
      </c>
      <c r="F162" s="15" t="s">
        <v>1116</v>
      </c>
      <c r="G162" s="16"/>
      <c r="H162" s="7" t="s">
        <v>1117</v>
      </c>
      <c r="I162" s="7" t="s">
        <v>1118</v>
      </c>
      <c r="J162" s="7" t="s">
        <v>1119</v>
      </c>
      <c r="K162" s="7" t="s">
        <v>1120</v>
      </c>
      <c r="L162" s="7" t="s">
        <v>1121</v>
      </c>
      <c r="M162" s="18">
        <v>6.0E7</v>
      </c>
      <c r="N162" s="3">
        <f>STANDARDIZE(M162,Profiling!$C$2, Profiling!$B$2)</f>
        <v>0.2261975781</v>
      </c>
      <c r="O162" s="18">
        <v>1.355E8</v>
      </c>
      <c r="P162" s="3">
        <f>STANDARDIZE(O162,Profiling!$C$3, Profiling!$B$3)</f>
        <v>-0.08994661198</v>
      </c>
      <c r="Q162" s="3"/>
      <c r="R162" s="3"/>
    </row>
    <row r="163">
      <c r="A163" s="11" t="s">
        <v>1122</v>
      </c>
      <c r="B163" s="20">
        <v>42398.0</v>
      </c>
      <c r="C163" s="13" t="s">
        <v>1123</v>
      </c>
      <c r="D163" s="11" t="s">
        <v>15</v>
      </c>
      <c r="E163" s="11" t="s">
        <v>20</v>
      </c>
      <c r="F163" s="15" t="s">
        <v>1124</v>
      </c>
      <c r="G163" s="16"/>
      <c r="H163" s="7" t="s">
        <v>1125</v>
      </c>
      <c r="I163" s="7" t="s">
        <v>383</v>
      </c>
      <c r="J163" s="7" t="s">
        <v>1126</v>
      </c>
      <c r="K163" s="7" t="s">
        <v>96</v>
      </c>
      <c r="L163" s="7" t="s">
        <v>1127</v>
      </c>
      <c r="M163" s="18">
        <v>2.5E7</v>
      </c>
      <c r="N163" s="3">
        <f>STANDARDIZE(M163,Profiling!$C$2, Profiling!$B$2)</f>
        <v>-0.4852048941</v>
      </c>
      <c r="O163" s="18">
        <v>3000000.0</v>
      </c>
      <c r="P163" s="3">
        <f>STANDARDIZE(O163,Profiling!$C$3, Profiling!$B$3)</f>
        <v>-0.8129809636</v>
      </c>
      <c r="Q163" s="3"/>
      <c r="R163" s="3"/>
    </row>
    <row r="164">
      <c r="A164" s="11" t="s">
        <v>1128</v>
      </c>
      <c r="B164" s="20">
        <v>42580.0</v>
      </c>
      <c r="C164" s="13" t="s">
        <v>1129</v>
      </c>
      <c r="D164" s="11" t="s">
        <v>15</v>
      </c>
      <c r="E164" s="11" t="s">
        <v>19</v>
      </c>
      <c r="F164" s="15" t="s">
        <v>1130</v>
      </c>
      <c r="G164" s="16"/>
      <c r="H164" s="7" t="s">
        <v>731</v>
      </c>
      <c r="I164" s="7" t="s">
        <v>1131</v>
      </c>
      <c r="J164" s="7" t="s">
        <v>786</v>
      </c>
      <c r="K164" s="7" t="s">
        <v>1132</v>
      </c>
      <c r="L164" s="7" t="s">
        <v>1133</v>
      </c>
      <c r="M164" s="18">
        <v>1.2E8</v>
      </c>
      <c r="N164" s="3">
        <f>STANDARDIZE(M164,Profiling!$C$2, Profiling!$B$2)</f>
        <v>1.445744673</v>
      </c>
      <c r="O164" s="18">
        <v>3.479E8</v>
      </c>
      <c r="P164" s="3">
        <f>STANDARDIZE(O164,Profiling!$C$3, Profiling!$B$3)</f>
        <v>1.069091096</v>
      </c>
      <c r="Q164" s="3"/>
      <c r="R164" s="3"/>
    </row>
    <row r="165">
      <c r="A165" s="11" t="s">
        <v>1134</v>
      </c>
      <c r="B165" s="20">
        <v>40984.0</v>
      </c>
      <c r="C165" s="13" t="s">
        <v>1135</v>
      </c>
      <c r="D165" s="11" t="s">
        <v>17</v>
      </c>
      <c r="E165" s="11" t="s">
        <v>20</v>
      </c>
      <c r="F165" s="15" t="s">
        <v>1136</v>
      </c>
      <c r="G165" s="16"/>
      <c r="H165" s="7" t="s">
        <v>1137</v>
      </c>
      <c r="I165" s="7" t="s">
        <v>682</v>
      </c>
      <c r="J165" s="7" t="s">
        <v>1138</v>
      </c>
      <c r="K165" s="7" t="s">
        <v>1139</v>
      </c>
      <c r="L165" s="7" t="s">
        <v>1140</v>
      </c>
      <c r="M165" s="18">
        <v>7500000.0</v>
      </c>
      <c r="N165" s="3">
        <f>STANDARDIZE(M165,Profiling!$C$2, Profiling!$B$2)</f>
        <v>-0.8409061302</v>
      </c>
      <c r="O165" s="18">
        <v>7500000.0</v>
      </c>
      <c r="P165" s="3">
        <f>STANDARDIZE(O165,Profiling!$C$3, Profiling!$B$3)</f>
        <v>-0.7884250799</v>
      </c>
      <c r="Q165" s="3"/>
      <c r="R165" s="3"/>
    </row>
    <row r="166">
      <c r="A166" s="11" t="s">
        <v>1141</v>
      </c>
      <c r="B166" s="20">
        <v>42300.0</v>
      </c>
      <c r="C166" s="13" t="s">
        <v>1142</v>
      </c>
      <c r="D166" s="11" t="s">
        <v>21</v>
      </c>
      <c r="E166" s="11" t="s">
        <v>17</v>
      </c>
      <c r="F166" s="15" t="s">
        <v>1143</v>
      </c>
      <c r="G166" s="16"/>
      <c r="H166" s="7" t="s">
        <v>1144</v>
      </c>
      <c r="I166" s="7" t="s">
        <v>1084</v>
      </c>
      <c r="J166" s="7" t="s">
        <v>1145</v>
      </c>
      <c r="K166" s="7" t="s">
        <v>1146</v>
      </c>
      <c r="L166" s="7" t="s">
        <v>1147</v>
      </c>
      <c r="M166" s="18">
        <v>5000000.0</v>
      </c>
      <c r="N166" s="3">
        <f>STANDARDIZE(M166,Profiling!$C$2, Profiling!$B$2)</f>
        <v>-0.8917205925</v>
      </c>
      <c r="O166" s="18">
        <v>2300000.0</v>
      </c>
      <c r="P166" s="3">
        <f>STANDARDIZE(O166,Profiling!$C$3, Profiling!$B$3)</f>
        <v>-0.8168007677</v>
      </c>
      <c r="Q166" s="3"/>
      <c r="R166" s="3"/>
    </row>
    <row r="167">
      <c r="A167" s="11" t="s">
        <v>1148</v>
      </c>
      <c r="B167" s="20">
        <v>41795.0</v>
      </c>
      <c r="C167" s="13" t="s">
        <v>1149</v>
      </c>
      <c r="D167" s="11" t="s">
        <v>20</v>
      </c>
      <c r="E167" s="11" t="s">
        <v>21</v>
      </c>
      <c r="F167" s="15" t="s">
        <v>242</v>
      </c>
      <c r="G167" s="16"/>
      <c r="H167" s="7" t="s">
        <v>1150</v>
      </c>
      <c r="I167" s="7" t="s">
        <v>1151</v>
      </c>
      <c r="J167" s="7" t="s">
        <v>1152</v>
      </c>
      <c r="K167" s="7" t="s">
        <v>1153</v>
      </c>
      <c r="L167" s="7" t="s">
        <v>723</v>
      </c>
      <c r="M167" s="18">
        <v>5.86E7</v>
      </c>
      <c r="N167" s="3">
        <f>STANDARDIZE(M167,Profiling!$C$2, Profiling!$B$2)</f>
        <v>0.1977414792</v>
      </c>
      <c r="O167" s="18">
        <v>6.77E7</v>
      </c>
      <c r="P167" s="3">
        <f>STANDARDIZE(O167,Profiling!$C$3, Profiling!$B$3)</f>
        <v>-0.4599219255</v>
      </c>
      <c r="Q167" s="3"/>
      <c r="R167" s="3"/>
    </row>
    <row r="168">
      <c r="A168" s="11" t="s">
        <v>1154</v>
      </c>
      <c r="B168" s="20">
        <v>41502.0</v>
      </c>
      <c r="C168" s="13" t="s">
        <v>1155</v>
      </c>
      <c r="D168" s="11" t="s">
        <v>24</v>
      </c>
      <c r="E168" s="17"/>
      <c r="F168" s="15" t="s">
        <v>1156</v>
      </c>
      <c r="G168" s="16"/>
      <c r="H168" s="7" t="s">
        <v>1157</v>
      </c>
      <c r="I168" s="7" t="s">
        <v>1083</v>
      </c>
      <c r="J168" s="7" t="s">
        <v>1158</v>
      </c>
      <c r="K168" s="7" t="s">
        <v>1159</v>
      </c>
      <c r="L168" s="7" t="s">
        <v>1160</v>
      </c>
      <c r="M168" s="18">
        <v>1.2E7</v>
      </c>
      <c r="N168" s="3">
        <f>STANDARDIZE(M168,Profiling!$C$2, Profiling!$B$2)</f>
        <v>-0.749440098</v>
      </c>
      <c r="O168" s="18">
        <v>3.59E7</v>
      </c>
      <c r="P168" s="3">
        <f>STANDARDIZE(O168,Profiling!$C$3, Profiling!$B$3)</f>
        <v>-0.6334501699</v>
      </c>
      <c r="Q168" s="3"/>
      <c r="R168" s="3"/>
    </row>
    <row r="169">
      <c r="A169" s="11" t="s">
        <v>1161</v>
      </c>
      <c r="B169" s="20">
        <v>41925.0</v>
      </c>
      <c r="C169" s="13" t="s">
        <v>1162</v>
      </c>
      <c r="D169" s="11" t="s">
        <v>15</v>
      </c>
      <c r="E169" s="11" t="s">
        <v>19</v>
      </c>
      <c r="F169" s="15" t="s">
        <v>1163</v>
      </c>
      <c r="G169" s="15" t="s">
        <v>1164</v>
      </c>
      <c r="H169" s="7" t="s">
        <v>1165</v>
      </c>
      <c r="I169" s="7" t="s">
        <v>1166</v>
      </c>
      <c r="J169" s="7" t="s">
        <v>164</v>
      </c>
      <c r="K169" s="17"/>
      <c r="L169" s="17"/>
      <c r="M169" s="18">
        <v>2.0E7</v>
      </c>
      <c r="N169" s="3">
        <f>STANDARDIZE(M169,Profiling!$C$2, Profiling!$B$2)</f>
        <v>-0.5868338187</v>
      </c>
      <c r="O169" s="18">
        <v>8.6E7</v>
      </c>
      <c r="P169" s="3">
        <f>STANDARDIZE(O169,Profiling!$C$3, Profiling!$B$3)</f>
        <v>-0.360061332</v>
      </c>
      <c r="Q169" s="3"/>
      <c r="R169" s="3"/>
    </row>
    <row r="170">
      <c r="A170" s="11" t="s">
        <v>1167</v>
      </c>
      <c r="B170" s="20">
        <v>40949.0</v>
      </c>
      <c r="C170" s="13" t="s">
        <v>1168</v>
      </c>
      <c r="D170" s="11" t="s">
        <v>10</v>
      </c>
      <c r="E170" s="17"/>
      <c r="F170" s="15" t="s">
        <v>1169</v>
      </c>
      <c r="G170" s="16"/>
      <c r="H170" s="7" t="s">
        <v>478</v>
      </c>
      <c r="I170" s="7" t="s">
        <v>1089</v>
      </c>
      <c r="J170" s="7" t="s">
        <v>765</v>
      </c>
      <c r="K170" s="7" t="s">
        <v>1170</v>
      </c>
      <c r="L170" s="7" t="s">
        <v>1171</v>
      </c>
      <c r="M170" s="18">
        <v>7.9E7</v>
      </c>
      <c r="N170" s="3">
        <f>STANDARDIZE(M170,Profiling!$C$2, Profiling!$B$2)</f>
        <v>0.6123874915</v>
      </c>
      <c r="O170" s="18">
        <v>3.353E8</v>
      </c>
      <c r="P170" s="3">
        <f>STANDARDIZE(O170,Profiling!$C$3, Profiling!$B$3)</f>
        <v>1.000334622</v>
      </c>
      <c r="Q170" s="3"/>
      <c r="R170" s="3"/>
    </row>
    <row r="171">
      <c r="A171" s="11" t="s">
        <v>1172</v>
      </c>
      <c r="B171" s="20">
        <v>42363.0</v>
      </c>
      <c r="C171" s="13" t="s">
        <v>1173</v>
      </c>
      <c r="D171" s="11" t="s">
        <v>17</v>
      </c>
      <c r="E171" s="11" t="s">
        <v>20</v>
      </c>
      <c r="F171" s="15" t="s">
        <v>1174</v>
      </c>
      <c r="G171" s="16"/>
      <c r="H171" s="7" t="s">
        <v>1175</v>
      </c>
      <c r="I171" s="7" t="s">
        <v>956</v>
      </c>
      <c r="J171" s="7" t="s">
        <v>220</v>
      </c>
      <c r="K171" s="7" t="s">
        <v>621</v>
      </c>
      <c r="L171" s="17"/>
      <c r="M171" s="18">
        <v>6.0E7</v>
      </c>
      <c r="N171" s="3">
        <f>STANDARDIZE(M171,Profiling!$C$2, Profiling!$B$2)</f>
        <v>0.2261975781</v>
      </c>
      <c r="O171" s="18">
        <v>1.011E8</v>
      </c>
      <c r="P171" s="3">
        <f>STANDARDIZE(O171,Profiling!$C$3, Profiling!$B$3)</f>
        <v>-0.2776627002</v>
      </c>
      <c r="Q171" s="3"/>
      <c r="R171" s="3"/>
    </row>
    <row r="172">
      <c r="A172" s="11" t="s">
        <v>1176</v>
      </c>
      <c r="B172" s="20">
        <v>42489.0</v>
      </c>
      <c r="C172" s="13" t="s">
        <v>1177</v>
      </c>
      <c r="D172" s="11" t="s">
        <v>17</v>
      </c>
      <c r="E172" s="17"/>
      <c r="F172" s="15" t="s">
        <v>1178</v>
      </c>
      <c r="G172" s="16"/>
      <c r="H172" s="7" t="s">
        <v>1179</v>
      </c>
      <c r="I172" s="7" t="s">
        <v>1180</v>
      </c>
      <c r="J172" s="7" t="s">
        <v>1181</v>
      </c>
      <c r="K172" s="7" t="s">
        <v>1182</v>
      </c>
      <c r="L172" s="7" t="s">
        <v>1183</v>
      </c>
      <c r="M172" s="18">
        <v>1.5E7</v>
      </c>
      <c r="N172" s="3">
        <f>STANDARDIZE(M172,Profiling!$C$2, Profiling!$B$2)</f>
        <v>-0.6884627433</v>
      </c>
      <c r="O172" s="18">
        <v>2.07E7</v>
      </c>
      <c r="P172" s="3">
        <f>STANDARDIZE(O172,Profiling!$C$3, Profiling!$B$3)</f>
        <v>-0.7163944879</v>
      </c>
      <c r="Q172" s="3"/>
      <c r="R172" s="3"/>
    </row>
    <row r="173">
      <c r="A173" s="11" t="s">
        <v>1184</v>
      </c>
      <c r="B173" s="20">
        <v>41922.0</v>
      </c>
      <c r="C173" s="13" t="s">
        <v>1185</v>
      </c>
      <c r="D173" s="11" t="s">
        <v>25</v>
      </c>
      <c r="E173" s="11" t="s">
        <v>20</v>
      </c>
      <c r="F173" s="15" t="s">
        <v>1186</v>
      </c>
      <c r="G173" s="16"/>
      <c r="H173" s="7" t="s">
        <v>963</v>
      </c>
      <c r="I173" s="7" t="s">
        <v>1187</v>
      </c>
      <c r="J173" s="7" t="s">
        <v>60</v>
      </c>
      <c r="K173" s="7" t="s">
        <v>1188</v>
      </c>
      <c r="L173" s="7" t="s">
        <v>1189</v>
      </c>
      <c r="M173" s="18">
        <v>5000000.0</v>
      </c>
      <c r="N173" s="3">
        <f>STANDARDIZE(M173,Profiling!$C$2, Profiling!$B$2)</f>
        <v>-0.8917205925</v>
      </c>
      <c r="O173" s="18">
        <v>2500000.0</v>
      </c>
      <c r="P173" s="3">
        <f>STANDARDIZE(O173,Profiling!$C$3, Profiling!$B$3)</f>
        <v>-0.8157093951</v>
      </c>
      <c r="Q173" s="3"/>
      <c r="R173" s="3"/>
    </row>
    <row r="174">
      <c r="A174" s="11" t="s">
        <v>1190</v>
      </c>
      <c r="B174" s="20">
        <v>41243.0</v>
      </c>
      <c r="C174" s="13" t="s">
        <v>1191</v>
      </c>
      <c r="D174" s="11" t="s">
        <v>25</v>
      </c>
      <c r="E174" s="11" t="s">
        <v>20</v>
      </c>
      <c r="F174" s="15" t="s">
        <v>1192</v>
      </c>
      <c r="G174" s="16"/>
      <c r="H174" s="7" t="s">
        <v>451</v>
      </c>
      <c r="I174" s="7" t="s">
        <v>1193</v>
      </c>
      <c r="J174" s="7" t="s">
        <v>1194</v>
      </c>
      <c r="K174" s="7" t="s">
        <v>1195</v>
      </c>
      <c r="L174" s="7" t="s">
        <v>1189</v>
      </c>
      <c r="M174" s="18">
        <v>1.5E7</v>
      </c>
      <c r="N174" s="3">
        <f>STANDARDIZE(M174,Profiling!$C$2, Profiling!$B$2)</f>
        <v>-0.6884627433</v>
      </c>
      <c r="O174" s="18">
        <v>3.79E7</v>
      </c>
      <c r="P174" s="3">
        <f>STANDARDIZE(O174,Profiling!$C$3, Profiling!$B$3)</f>
        <v>-0.6225364438</v>
      </c>
      <c r="Q174" s="3"/>
      <c r="R174" s="3"/>
    </row>
    <row r="175">
      <c r="A175" s="11" t="s">
        <v>1196</v>
      </c>
      <c r="B175" s="20">
        <v>41986.0</v>
      </c>
      <c r="C175" s="13" t="s">
        <v>1197</v>
      </c>
      <c r="D175" s="11" t="s">
        <v>15</v>
      </c>
      <c r="E175" s="17"/>
      <c r="F175" s="15" t="s">
        <v>1198</v>
      </c>
      <c r="G175" s="16"/>
      <c r="H175" s="7" t="s">
        <v>357</v>
      </c>
      <c r="I175" s="7" t="s">
        <v>722</v>
      </c>
      <c r="J175" s="7" t="s">
        <v>661</v>
      </c>
      <c r="K175" s="7" t="s">
        <v>356</v>
      </c>
      <c r="L175" s="7" t="s">
        <v>1089</v>
      </c>
      <c r="M175" s="18">
        <v>9.4E7</v>
      </c>
      <c r="N175" s="3">
        <f>STANDARDIZE(M175,Profiling!$C$2, Profiling!$B$2)</f>
        <v>0.9172742653</v>
      </c>
      <c r="O175" s="18">
        <v>4.144E8</v>
      </c>
      <c r="P175" s="3">
        <f>STANDARDIZE(O175,Profiling!$C$3, Profiling!$B$3)</f>
        <v>1.431972487</v>
      </c>
      <c r="Q175" s="3"/>
      <c r="R175" s="3"/>
    </row>
    <row r="176">
      <c r="A176" s="11" t="s">
        <v>1199</v>
      </c>
      <c r="B176" s="20">
        <v>42342.0</v>
      </c>
      <c r="C176" s="13" t="s">
        <v>1200</v>
      </c>
      <c r="D176" s="11" t="s">
        <v>18</v>
      </c>
      <c r="E176" s="17"/>
      <c r="F176" s="15" t="s">
        <v>1201</v>
      </c>
      <c r="G176" s="16"/>
      <c r="H176" s="7" t="s">
        <v>1202</v>
      </c>
      <c r="I176" s="7" t="s">
        <v>1203</v>
      </c>
      <c r="J176" s="7" t="s">
        <v>833</v>
      </c>
      <c r="K176" s="17"/>
      <c r="L176" s="17"/>
      <c r="M176" s="18">
        <v>1.5E7</v>
      </c>
      <c r="N176" s="3">
        <f>STANDARDIZE(M176,Profiling!$C$2, Profiling!$B$2)</f>
        <v>-0.6884627433</v>
      </c>
      <c r="O176" s="18">
        <v>6.15E7</v>
      </c>
      <c r="P176" s="3">
        <f>STANDARDIZE(O176,Profiling!$C$3, Profiling!$B$3)</f>
        <v>-0.4937544763</v>
      </c>
      <c r="Q176" s="3"/>
      <c r="R176" s="3"/>
    </row>
    <row r="177">
      <c r="A177" s="11" t="s">
        <v>1204</v>
      </c>
      <c r="B177" s="20">
        <v>42601.0</v>
      </c>
      <c r="C177" s="13" t="s">
        <v>1205</v>
      </c>
      <c r="D177" s="11" t="s">
        <v>13</v>
      </c>
      <c r="E177" s="17"/>
      <c r="F177" s="15" t="s">
        <v>1206</v>
      </c>
      <c r="G177" s="16"/>
      <c r="H177" s="7" t="s">
        <v>1207</v>
      </c>
      <c r="I177" s="7" t="s">
        <v>828</v>
      </c>
      <c r="J177" s="7" t="s">
        <v>205</v>
      </c>
      <c r="K177" s="7" t="s">
        <v>1208</v>
      </c>
      <c r="L177" s="7" t="s">
        <v>952</v>
      </c>
      <c r="M177" s="18">
        <v>6.0E7</v>
      </c>
      <c r="N177" s="3">
        <f>STANDARDIZE(M177,Profiling!$C$2, Profiling!$B$2)</f>
        <v>0.2261975781</v>
      </c>
      <c r="O177" s="18">
        <v>2.76E7</v>
      </c>
      <c r="P177" s="3">
        <f>STANDARDIZE(O177,Profiling!$C$3, Profiling!$B$3)</f>
        <v>-0.678742133</v>
      </c>
      <c r="Q177" s="3"/>
      <c r="R177" s="3"/>
    </row>
    <row r="178">
      <c r="A178" s="11" t="s">
        <v>1209</v>
      </c>
      <c r="B178" s="20">
        <v>42392.0</v>
      </c>
      <c r="C178" s="13" t="s">
        <v>1210</v>
      </c>
      <c r="D178" s="11" t="s">
        <v>15</v>
      </c>
      <c r="E178" s="11" t="s">
        <v>17</v>
      </c>
      <c r="F178" s="15" t="s">
        <v>1211</v>
      </c>
      <c r="G178" s="15" t="s">
        <v>1212</v>
      </c>
      <c r="H178" s="7" t="s">
        <v>937</v>
      </c>
      <c r="I178" s="7" t="s">
        <v>450</v>
      </c>
      <c r="J178" s="7" t="s">
        <v>1213</v>
      </c>
      <c r="K178" s="7" t="s">
        <v>699</v>
      </c>
      <c r="L178" s="7" t="s">
        <v>1214</v>
      </c>
      <c r="M178" s="18">
        <v>1.45E8</v>
      </c>
      <c r="N178" s="3">
        <f>STANDARDIZE(M178,Profiling!$C$2, Profiling!$B$2)</f>
        <v>1.953889296</v>
      </c>
      <c r="O178" s="18">
        <v>5.199E8</v>
      </c>
      <c r="P178" s="3">
        <f>STANDARDIZE(O178,Profiling!$C$3, Profiling!$B$3)</f>
        <v>2.007671537</v>
      </c>
      <c r="Q178" s="3"/>
      <c r="R178" s="3"/>
    </row>
    <row r="179">
      <c r="A179" s="11" t="s">
        <v>1215</v>
      </c>
      <c r="B179" s="20">
        <v>42396.0</v>
      </c>
      <c r="C179" s="13" t="s">
        <v>1216</v>
      </c>
      <c r="D179" s="11" t="s">
        <v>14</v>
      </c>
      <c r="E179" s="11" t="s">
        <v>17</v>
      </c>
      <c r="F179" s="15" t="s">
        <v>1217</v>
      </c>
      <c r="G179" s="16"/>
      <c r="H179" s="7" t="s">
        <v>1218</v>
      </c>
      <c r="I179" s="7" t="s">
        <v>1219</v>
      </c>
      <c r="J179" s="7" t="s">
        <v>1220</v>
      </c>
      <c r="K179" s="7" t="s">
        <v>1221</v>
      </c>
      <c r="L179" s="7" t="s">
        <v>1222</v>
      </c>
      <c r="M179" s="18">
        <v>2400000.0</v>
      </c>
      <c r="N179" s="3">
        <f>STANDARDIZE(M179,Profiling!$C$2, Profiling!$B$2)</f>
        <v>-0.9445676333</v>
      </c>
      <c r="O179" s="18">
        <v>1600000.0</v>
      </c>
      <c r="P179" s="3">
        <f>STANDARDIZE(O179,Profiling!$C$3, Profiling!$B$3)</f>
        <v>-0.8206205718</v>
      </c>
      <c r="Q179" s="3"/>
      <c r="R179" s="3"/>
    </row>
    <row r="180">
      <c r="A180" s="11" t="s">
        <v>1223</v>
      </c>
      <c r="B180" s="20">
        <v>41915.0</v>
      </c>
      <c r="C180" s="13" t="s">
        <v>1224</v>
      </c>
      <c r="D180" s="25" t="s">
        <v>26</v>
      </c>
      <c r="E180" s="11" t="s">
        <v>19</v>
      </c>
      <c r="F180" s="15" t="s">
        <v>1225</v>
      </c>
      <c r="G180" s="16"/>
      <c r="H180" s="7" t="s">
        <v>884</v>
      </c>
      <c r="I180" s="7" t="s">
        <v>1226</v>
      </c>
      <c r="J180" s="7" t="s">
        <v>1227</v>
      </c>
      <c r="K180" s="7" t="s">
        <v>1228</v>
      </c>
      <c r="L180" s="7" t="s">
        <v>1229</v>
      </c>
      <c r="M180" s="18">
        <v>1.6E7</v>
      </c>
      <c r="N180" s="3">
        <f>STANDARDIZE(M180,Profiling!$C$2, Profiling!$B$2)</f>
        <v>-0.6681369584</v>
      </c>
      <c r="O180" s="18">
        <v>2.76E7</v>
      </c>
      <c r="P180" s="3">
        <f>STANDARDIZE(O180,Profiling!$C$3, Profiling!$B$3)</f>
        <v>-0.678742133</v>
      </c>
      <c r="Q180" s="3"/>
      <c r="R180" s="3"/>
    </row>
    <row r="181">
      <c r="A181" s="11" t="s">
        <v>1230</v>
      </c>
      <c r="B181" s="20">
        <v>41268.0</v>
      </c>
      <c r="C181" s="13" t="s">
        <v>1231</v>
      </c>
      <c r="D181" s="11" t="s">
        <v>21</v>
      </c>
      <c r="E181" s="17"/>
      <c r="F181" s="15" t="s">
        <v>1232</v>
      </c>
      <c r="G181" s="16"/>
      <c r="H181" s="7" t="s">
        <v>493</v>
      </c>
      <c r="I181" s="7" t="s">
        <v>1233</v>
      </c>
      <c r="J181" s="7" t="s">
        <v>1234</v>
      </c>
      <c r="K181" s="7" t="s">
        <v>1235</v>
      </c>
      <c r="L181" s="7" t="s">
        <v>1088</v>
      </c>
      <c r="M181" s="18">
        <v>6.1E7</v>
      </c>
      <c r="N181" s="3">
        <f>STANDARDIZE(M181,Profiling!$C$2, Profiling!$B$2)</f>
        <v>0.246523363</v>
      </c>
      <c r="O181" s="18">
        <v>4.418E8</v>
      </c>
      <c r="P181" s="3">
        <f>STANDARDIZE(O181,Profiling!$C$3, Profiling!$B$3)</f>
        <v>1.581490534</v>
      </c>
      <c r="Q181" s="3"/>
      <c r="R181" s="3"/>
    </row>
    <row r="182">
      <c r="A182" s="11" t="s">
        <v>1236</v>
      </c>
      <c r="B182" s="20">
        <v>41864.0</v>
      </c>
      <c r="C182" s="13" t="s">
        <v>1237</v>
      </c>
      <c r="D182" s="11" t="s">
        <v>15</v>
      </c>
      <c r="E182" s="11" t="s">
        <v>17</v>
      </c>
      <c r="F182" s="15" t="s">
        <v>1238</v>
      </c>
      <c r="G182" s="16"/>
      <c r="H182" s="7" t="s">
        <v>1239</v>
      </c>
      <c r="I182" s="7" t="s">
        <v>1240</v>
      </c>
      <c r="J182" s="7" t="s">
        <v>670</v>
      </c>
      <c r="K182" s="17"/>
      <c r="L182" s="17"/>
      <c r="M182" s="18">
        <v>1.7E7</v>
      </c>
      <c r="N182" s="3">
        <f>STANDARDIZE(M182,Profiling!$C$2, Profiling!$B$2)</f>
        <v>-0.6478111734</v>
      </c>
      <c r="O182" s="18">
        <v>1.382E8</v>
      </c>
      <c r="P182" s="3">
        <f>STANDARDIZE(O182,Profiling!$C$3, Profiling!$B$3)</f>
        <v>-0.07521308179</v>
      </c>
      <c r="Q182" s="3"/>
      <c r="R182" s="3"/>
    </row>
    <row r="183">
      <c r="A183" s="11" t="s">
        <v>1241</v>
      </c>
      <c r="B183" s="20">
        <v>41234.0</v>
      </c>
      <c r="C183" s="13" t="s">
        <v>1242</v>
      </c>
      <c r="D183" s="11" t="s">
        <v>20</v>
      </c>
      <c r="E183" s="11" t="s">
        <v>10</v>
      </c>
      <c r="F183" s="15" t="s">
        <v>1243</v>
      </c>
      <c r="G183" s="16"/>
      <c r="H183" s="7" t="s">
        <v>1244</v>
      </c>
      <c r="I183" s="7" t="s">
        <v>1245</v>
      </c>
      <c r="J183" s="7" t="s">
        <v>1246</v>
      </c>
      <c r="K183" s="7" t="s">
        <v>1247</v>
      </c>
      <c r="L183" s="17"/>
      <c r="M183" s="18">
        <v>1.2E8</v>
      </c>
      <c r="N183" s="3">
        <f>STANDARDIZE(M183,Profiling!$C$2, Profiling!$B$2)</f>
        <v>1.445744673</v>
      </c>
      <c r="O183" s="18">
        <v>6.09E8</v>
      </c>
      <c r="P183" s="3">
        <f>STANDARDIZE(O183,Profiling!$C$3, Profiling!$B$3)</f>
        <v>2.493878033</v>
      </c>
      <c r="Q183" s="3"/>
      <c r="R183" s="3"/>
    </row>
    <row r="184">
      <c r="A184" s="11" t="s">
        <v>1248</v>
      </c>
      <c r="B184" s="20">
        <v>42573.0</v>
      </c>
      <c r="C184" s="13" t="s">
        <v>1249</v>
      </c>
      <c r="D184" s="11" t="s">
        <v>18</v>
      </c>
      <c r="E184" s="11" t="s">
        <v>19</v>
      </c>
      <c r="F184" s="15" t="s">
        <v>1250</v>
      </c>
      <c r="G184" s="16"/>
      <c r="H184" s="7" t="s">
        <v>1251</v>
      </c>
      <c r="I184" s="7" t="s">
        <v>1252</v>
      </c>
      <c r="J184" s="7" t="s">
        <v>1253</v>
      </c>
      <c r="K184" s="17"/>
      <c r="L184" s="17"/>
      <c r="M184" s="18">
        <v>4900000.0</v>
      </c>
      <c r="N184" s="3">
        <f>STANDARDIZE(M184,Profiling!$C$2, Profiling!$B$2)</f>
        <v>-0.893753171</v>
      </c>
      <c r="O184" s="18">
        <v>1.259E8</v>
      </c>
      <c r="P184" s="3">
        <f>STANDARDIZE(O184,Profiling!$C$3, Profiling!$B$3)</f>
        <v>-0.1423324971</v>
      </c>
      <c r="Q184" s="3"/>
      <c r="R184" s="3"/>
    </row>
    <row r="185">
      <c r="A185" s="25" t="s">
        <v>1254</v>
      </c>
      <c r="B185" s="20">
        <v>41222.0</v>
      </c>
      <c r="C185" s="13" t="s">
        <v>1255</v>
      </c>
      <c r="D185" s="11" t="s">
        <v>20</v>
      </c>
      <c r="E185" s="17"/>
      <c r="F185" s="15" t="s">
        <v>421</v>
      </c>
      <c r="G185" s="16"/>
      <c r="H185" s="7" t="s">
        <v>1256</v>
      </c>
      <c r="I185" s="7" t="s">
        <v>1257</v>
      </c>
      <c r="J185" s="7" t="s">
        <v>1258</v>
      </c>
      <c r="K185" s="7" t="s">
        <v>1259</v>
      </c>
      <c r="L185" s="7" t="s">
        <v>1260</v>
      </c>
      <c r="M185" s="18">
        <v>6.5E7</v>
      </c>
      <c r="N185" s="3">
        <f>STANDARDIZE(M185,Profiling!$C$2, Profiling!$B$2)</f>
        <v>0.3278265027</v>
      </c>
      <c r="O185" s="18">
        <v>2.753E8</v>
      </c>
      <c r="P185" s="3">
        <f>STANDARDIZE(O185,Profiling!$C$3, Profiling!$B$3)</f>
        <v>0.6729228398</v>
      </c>
      <c r="Q185" s="3"/>
      <c r="R185" s="3"/>
    </row>
    <row r="186">
      <c r="A186" s="11" t="s">
        <v>1261</v>
      </c>
      <c r="B186" s="20">
        <v>42118.0</v>
      </c>
      <c r="C186" s="13" t="s">
        <v>1262</v>
      </c>
      <c r="D186" s="11" t="s">
        <v>20</v>
      </c>
      <c r="E186" s="17"/>
      <c r="F186" s="15" t="s">
        <v>1263</v>
      </c>
      <c r="G186" s="16"/>
      <c r="H186" s="7" t="s">
        <v>1264</v>
      </c>
      <c r="I186" s="7" t="s">
        <v>1265</v>
      </c>
      <c r="J186" s="7" t="s">
        <v>943</v>
      </c>
      <c r="K186" s="7" t="s">
        <v>1266</v>
      </c>
      <c r="L186" s="7" t="s">
        <v>1267</v>
      </c>
      <c r="M186" s="18">
        <v>2.0E7</v>
      </c>
      <c r="N186" s="3">
        <f>STANDARDIZE(M186,Profiling!$C$2, Profiling!$B$2)</f>
        <v>-0.5868338187</v>
      </c>
      <c r="O186" s="18">
        <v>1.75E7</v>
      </c>
      <c r="P186" s="3">
        <f>STANDARDIZE(O186,Profiling!$C$3, Profiling!$B$3)</f>
        <v>-0.7338564496</v>
      </c>
      <c r="Q186" s="3"/>
      <c r="R186" s="3"/>
    </row>
    <row r="187">
      <c r="A187" s="11" t="s">
        <v>1268</v>
      </c>
      <c r="B187" s="20">
        <v>41012.0</v>
      </c>
      <c r="C187" s="13" t="s">
        <v>1269</v>
      </c>
      <c r="D187" s="11" t="s">
        <v>15</v>
      </c>
      <c r="E187" s="11" t="s">
        <v>14</v>
      </c>
      <c r="F187" s="15" t="s">
        <v>1270</v>
      </c>
      <c r="G187" s="15" t="s">
        <v>1271</v>
      </c>
      <c r="H187" s="7" t="s">
        <v>1272</v>
      </c>
      <c r="I187" s="7" t="s">
        <v>1273</v>
      </c>
      <c r="J187" s="7" t="s">
        <v>967</v>
      </c>
      <c r="K187" s="7" t="s">
        <v>1274</v>
      </c>
      <c r="L187" s="7" t="s">
        <v>1275</v>
      </c>
      <c r="M187" s="18">
        <v>2.0E7</v>
      </c>
      <c r="N187" s="3">
        <f>STANDARDIZE(M187,Profiling!$C$2, Profiling!$B$2)</f>
        <v>-0.5868338187</v>
      </c>
      <c r="O187" s="18">
        <v>3.2200000000000004E7</v>
      </c>
      <c r="P187" s="3">
        <f>STANDARDIZE(O187,Profiling!$C$3, Profiling!$B$3)</f>
        <v>-0.6536405631</v>
      </c>
      <c r="Q187" s="3"/>
      <c r="R187" s="3"/>
    </row>
    <row r="188">
      <c r="A188" s="11" t="s">
        <v>1276</v>
      </c>
      <c r="B188" s="20">
        <v>42433.0</v>
      </c>
      <c r="C188" s="13" t="s">
        <v>1277</v>
      </c>
      <c r="D188" s="11" t="s">
        <v>15</v>
      </c>
      <c r="E188" s="17"/>
      <c r="F188" s="15" t="s">
        <v>1278</v>
      </c>
      <c r="G188" s="16"/>
      <c r="H188" s="7" t="s">
        <v>498</v>
      </c>
      <c r="I188" s="7" t="s">
        <v>1279</v>
      </c>
      <c r="J188" s="7" t="s">
        <v>362</v>
      </c>
      <c r="K188" s="7" t="s">
        <v>1280</v>
      </c>
      <c r="L188" s="7" t="s">
        <v>1281</v>
      </c>
      <c r="M188" s="18">
        <v>6.0E7</v>
      </c>
      <c r="N188" s="3">
        <f>STANDARDIZE(M188,Profiling!$C$2, Profiling!$B$2)</f>
        <v>0.2261975781</v>
      </c>
      <c r="O188" s="18">
        <v>1.957E8</v>
      </c>
      <c r="P188" s="3">
        <f>STANDARDIZE(O188,Profiling!$C$3, Profiling!$B$3)</f>
        <v>0.2385565425</v>
      </c>
      <c r="Q188" s="3"/>
      <c r="R188" s="3"/>
    </row>
    <row r="189">
      <c r="A189" s="11" t="s">
        <v>1282</v>
      </c>
      <c r="B189" s="20">
        <v>41180.0</v>
      </c>
      <c r="C189" s="13" t="s">
        <v>1283</v>
      </c>
      <c r="D189" s="11" t="s">
        <v>15</v>
      </c>
      <c r="E189" s="11" t="s">
        <v>14</v>
      </c>
      <c r="F189" s="15" t="s">
        <v>1284</v>
      </c>
      <c r="G189" s="16"/>
      <c r="H189" s="7" t="s">
        <v>1260</v>
      </c>
      <c r="I189" s="7" t="s">
        <v>126</v>
      </c>
      <c r="J189" s="7" t="s">
        <v>728</v>
      </c>
      <c r="K189" s="7" t="s">
        <v>1285</v>
      </c>
      <c r="L189" s="7" t="s">
        <v>1286</v>
      </c>
      <c r="M189" s="18">
        <v>3.0E7</v>
      </c>
      <c r="N189" s="3">
        <f>STANDARDIZE(M189,Profiling!$C$2, Profiling!$B$2)</f>
        <v>-0.3835759695</v>
      </c>
      <c r="O189" s="18">
        <v>1.765E8</v>
      </c>
      <c r="P189" s="3">
        <f>STANDARDIZE(O189,Profiling!$C$3, Profiling!$B$3)</f>
        <v>0.1337847723</v>
      </c>
      <c r="Q189" s="3"/>
      <c r="R189" s="3"/>
    </row>
    <row r="190">
      <c r="A190" s="11" t="s">
        <v>1287</v>
      </c>
      <c r="B190" s="20">
        <v>42312.0</v>
      </c>
      <c r="C190" s="13" t="s">
        <v>1288</v>
      </c>
      <c r="D190" s="11" t="s">
        <v>22</v>
      </c>
      <c r="E190" s="11" t="s">
        <v>17</v>
      </c>
      <c r="F190" s="15" t="s">
        <v>1289</v>
      </c>
      <c r="G190" s="16"/>
      <c r="H190" s="7" t="s">
        <v>61</v>
      </c>
      <c r="I190" s="7" t="s">
        <v>1290</v>
      </c>
      <c r="J190" s="7" t="s">
        <v>766</v>
      </c>
      <c r="K190" s="7" t="s">
        <v>287</v>
      </c>
      <c r="L190" s="7" t="s">
        <v>1291</v>
      </c>
      <c r="M190" s="18">
        <v>2.4E7</v>
      </c>
      <c r="N190" s="3">
        <f>STANDARDIZE(M190,Profiling!$C$2, Profiling!$B$2)</f>
        <v>-0.505530679</v>
      </c>
      <c r="O190" s="18">
        <v>4.11E7</v>
      </c>
      <c r="P190" s="3">
        <f>STANDARDIZE(O190,Profiling!$C$3, Profiling!$B$3)</f>
        <v>-0.6050744821</v>
      </c>
      <c r="Q190" s="3"/>
      <c r="R190" s="3"/>
    </row>
    <row r="191">
      <c r="A191" s="11" t="s">
        <v>1292</v>
      </c>
      <c r="B191" s="20">
        <v>41845.0</v>
      </c>
      <c r="C191" s="13" t="s">
        <v>1293</v>
      </c>
      <c r="D191" s="11" t="s">
        <v>14</v>
      </c>
      <c r="E191" s="17"/>
      <c r="F191" s="15" t="s">
        <v>1294</v>
      </c>
      <c r="G191" s="16"/>
      <c r="H191" s="7" t="s">
        <v>459</v>
      </c>
      <c r="I191" s="7" t="s">
        <v>362</v>
      </c>
      <c r="J191" s="7" t="s">
        <v>1295</v>
      </c>
      <c r="K191" s="17"/>
      <c r="L191" s="17"/>
      <c r="M191" s="18">
        <v>4.0E7</v>
      </c>
      <c r="N191" s="3">
        <f>STANDARDIZE(M191,Profiling!$C$2, Profiling!$B$2)</f>
        <v>-0.1803181203</v>
      </c>
      <c r="O191" s="18">
        <v>4.634E8</v>
      </c>
      <c r="P191" s="3">
        <f>STANDARDIZE(O191,Profiling!$C$3, Profiling!$B$3)</f>
        <v>1.699358776</v>
      </c>
      <c r="Q191" s="3"/>
      <c r="R191" s="3"/>
    </row>
    <row r="192">
      <c r="A192" s="11" t="s">
        <v>1296</v>
      </c>
      <c r="B192" s="20">
        <v>42131.0</v>
      </c>
      <c r="C192" s="13" t="s">
        <v>1297</v>
      </c>
      <c r="D192" s="11" t="s">
        <v>15</v>
      </c>
      <c r="E192" s="17"/>
      <c r="F192" s="15" t="s">
        <v>1298</v>
      </c>
      <c r="G192" s="16"/>
      <c r="H192" s="7" t="s">
        <v>518</v>
      </c>
      <c r="I192" s="7" t="s">
        <v>1208</v>
      </c>
      <c r="J192" s="7" t="s">
        <v>1299</v>
      </c>
      <c r="K192" s="7" t="s">
        <v>1300</v>
      </c>
      <c r="L192" s="7" t="s">
        <v>1301</v>
      </c>
      <c r="M192" s="18">
        <v>1.5E8</v>
      </c>
      <c r="N192" s="3">
        <f>STANDARDIZE(M192,Profiling!$C$2, Profiling!$B$2)</f>
        <v>2.055518221</v>
      </c>
      <c r="O192" s="18">
        <v>3.784E8</v>
      </c>
      <c r="P192" s="3">
        <f>STANDARDIZE(O192,Profiling!$C$3, Profiling!$B$3)</f>
        <v>1.235525418</v>
      </c>
      <c r="Q192" s="3"/>
      <c r="R192" s="3"/>
    </row>
    <row r="193">
      <c r="A193" s="11" t="s">
        <v>1302</v>
      </c>
      <c r="B193" s="20">
        <v>41068.0</v>
      </c>
      <c r="C193" s="13" t="s">
        <v>1303</v>
      </c>
      <c r="D193" s="11" t="s">
        <v>17</v>
      </c>
      <c r="E193" s="17"/>
      <c r="F193" s="15" t="s">
        <v>34</v>
      </c>
      <c r="G193" s="16"/>
      <c r="H193" s="7" t="s">
        <v>1304</v>
      </c>
      <c r="I193" s="7" t="s">
        <v>944</v>
      </c>
      <c r="J193" s="7" t="s">
        <v>1305</v>
      </c>
      <c r="K193" s="7" t="s">
        <v>305</v>
      </c>
      <c r="L193" s="7" t="s">
        <v>1306</v>
      </c>
      <c r="M193" s="18">
        <v>1.45E8</v>
      </c>
      <c r="N193" s="3">
        <f>STANDARDIZE(M193,Profiling!$C$2, Profiling!$B$2)</f>
        <v>1.953889296</v>
      </c>
      <c r="O193" s="18">
        <v>7.469E8</v>
      </c>
      <c r="P193" s="3">
        <f>STANDARDIZE(O193,Profiling!$C$3, Profiling!$B$3)</f>
        <v>3.246379445</v>
      </c>
      <c r="Q193" s="3"/>
      <c r="R193" s="3"/>
    </row>
    <row r="194">
      <c r="A194" s="11" t="s">
        <v>1307</v>
      </c>
      <c r="B194" s="20">
        <v>41845.0</v>
      </c>
      <c r="C194" s="13" t="s">
        <v>1308</v>
      </c>
      <c r="D194" s="11" t="s">
        <v>17</v>
      </c>
      <c r="E194" s="17"/>
      <c r="F194" s="15" t="s">
        <v>402</v>
      </c>
      <c r="G194" s="16"/>
      <c r="H194" s="7" t="s">
        <v>221</v>
      </c>
      <c r="I194" s="7" t="s">
        <v>357</v>
      </c>
      <c r="J194" s="7" t="s">
        <v>1309</v>
      </c>
      <c r="K194" s="7" t="s">
        <v>1310</v>
      </c>
      <c r="L194" s="7" t="s">
        <v>1311</v>
      </c>
      <c r="M194" s="18">
        <v>1.68E7</v>
      </c>
      <c r="N194" s="3">
        <f>STANDARDIZE(M194,Profiling!$C$2, Profiling!$B$2)</f>
        <v>-0.6518763304</v>
      </c>
      <c r="O194" s="18">
        <v>5.1E7</v>
      </c>
      <c r="P194" s="3">
        <f>STANDARDIZE(O194,Profiling!$C$3, Profiling!$B$3)</f>
        <v>-0.5510515381</v>
      </c>
      <c r="Q194" s="3"/>
      <c r="R194" s="3"/>
    </row>
    <row r="195">
      <c r="A195" s="11" t="s">
        <v>1312</v>
      </c>
      <c r="B195" s="20">
        <v>41292.0</v>
      </c>
      <c r="C195" s="13" t="s">
        <v>1313</v>
      </c>
      <c r="D195" s="11" t="s">
        <v>18</v>
      </c>
      <c r="E195" s="11" t="s">
        <v>19</v>
      </c>
      <c r="F195" s="15" t="s">
        <v>1314</v>
      </c>
      <c r="G195" s="16"/>
      <c r="H195" s="7" t="s">
        <v>154</v>
      </c>
      <c r="I195" s="7" t="s">
        <v>914</v>
      </c>
      <c r="J195" s="7" t="s">
        <v>1315</v>
      </c>
      <c r="K195" s="7" t="s">
        <v>1316</v>
      </c>
      <c r="L195" s="17"/>
      <c r="M195" s="18">
        <v>1.5E7</v>
      </c>
      <c r="N195" s="3">
        <f>STANDARDIZE(M195,Profiling!$C$2, Profiling!$B$2)</f>
        <v>-0.6884627433</v>
      </c>
      <c r="O195" s="18">
        <v>1.464E8</v>
      </c>
      <c r="P195" s="3">
        <f>STANDARDIZE(O195,Profiling!$C$3, Profiling!$B$3)</f>
        <v>-0.03046680494</v>
      </c>
      <c r="Q195" s="3"/>
      <c r="R195" s="3"/>
    </row>
    <row r="196">
      <c r="A196" s="11" t="s">
        <v>1317</v>
      </c>
      <c r="B196" s="20">
        <v>41439.0</v>
      </c>
      <c r="C196" s="13" t="s">
        <v>1318</v>
      </c>
      <c r="D196" s="11" t="s">
        <v>15</v>
      </c>
      <c r="E196" s="11" t="s">
        <v>10</v>
      </c>
      <c r="F196" s="15" t="s">
        <v>37</v>
      </c>
      <c r="G196" s="16"/>
      <c r="H196" s="7" t="s">
        <v>315</v>
      </c>
      <c r="I196" s="7" t="s">
        <v>316</v>
      </c>
      <c r="J196" s="7" t="s">
        <v>1319</v>
      </c>
      <c r="K196" s="7" t="s">
        <v>559</v>
      </c>
      <c r="L196" s="7" t="s">
        <v>317</v>
      </c>
      <c r="M196" s="18">
        <v>2.25E8</v>
      </c>
      <c r="N196" s="3">
        <f>STANDARDIZE(M196,Profiling!$C$2, Profiling!$B$2)</f>
        <v>3.57995209</v>
      </c>
      <c r="O196" s="18">
        <v>6.68E8</v>
      </c>
      <c r="P196" s="3">
        <f>STANDARDIZE(O196,Profiling!$C$3, Profiling!$B$3)</f>
        <v>2.815832952</v>
      </c>
      <c r="Q196" s="3"/>
      <c r="R196" s="3"/>
    </row>
    <row r="197">
      <c r="A197" s="11" t="s">
        <v>1320</v>
      </c>
      <c r="B197" s="20">
        <v>40935.0</v>
      </c>
      <c r="C197" s="13" t="s">
        <v>1321</v>
      </c>
      <c r="D197" s="11" t="s">
        <v>15</v>
      </c>
      <c r="E197" s="11" t="s">
        <v>20</v>
      </c>
      <c r="F197" s="15" t="s">
        <v>1322</v>
      </c>
      <c r="G197" s="16"/>
      <c r="H197" s="7" t="s">
        <v>1323</v>
      </c>
      <c r="I197" s="7" t="s">
        <v>1324</v>
      </c>
      <c r="J197" s="7" t="s">
        <v>1325</v>
      </c>
      <c r="K197" s="7" t="s">
        <v>796</v>
      </c>
      <c r="L197" s="7" t="s">
        <v>1326</v>
      </c>
      <c r="M197" s="18">
        <v>4.2E7</v>
      </c>
      <c r="N197" s="3">
        <f>STANDARDIZE(M197,Profiling!$C$2, Profiling!$B$2)</f>
        <v>-0.1396665505</v>
      </c>
      <c r="O197" s="18">
        <v>4.62E7</v>
      </c>
      <c r="P197" s="3">
        <f>STANDARDIZE(O197,Profiling!$C$3, Profiling!$B$3)</f>
        <v>-0.5772444806</v>
      </c>
      <c r="Q197" s="3"/>
      <c r="R197" s="3"/>
    </row>
    <row r="198">
      <c r="A198" s="11" t="s">
        <v>1327</v>
      </c>
      <c r="B198" s="20">
        <v>42181.0</v>
      </c>
      <c r="C198" s="13" t="s">
        <v>1328</v>
      </c>
      <c r="D198" s="11" t="s">
        <v>10</v>
      </c>
      <c r="E198" s="17"/>
      <c r="F198" s="15" t="s">
        <v>1329</v>
      </c>
      <c r="G198" s="16"/>
      <c r="H198" s="7" t="s">
        <v>1330</v>
      </c>
      <c r="I198" s="7" t="s">
        <v>974</v>
      </c>
      <c r="J198" s="7" t="s">
        <v>1331</v>
      </c>
      <c r="K198" s="17"/>
      <c r="L198" s="17"/>
      <c r="M198" s="18">
        <v>2.0E7</v>
      </c>
      <c r="N198" s="3">
        <f>STANDARDIZE(M198,Profiling!$C$2, Profiling!$B$2)</f>
        <v>-0.5868338187</v>
      </c>
      <c r="O198" s="18">
        <v>4.4E7</v>
      </c>
      <c r="P198" s="3">
        <f>STANDARDIZE(O198,Profiling!$C$3, Profiling!$B$3)</f>
        <v>-0.5892495793</v>
      </c>
      <c r="Q198" s="3"/>
      <c r="R198" s="3"/>
    </row>
    <row r="199">
      <c r="A199" s="11" t="s">
        <v>1332</v>
      </c>
      <c r="B199" s="20">
        <v>42265.0</v>
      </c>
      <c r="C199" s="13" t="s">
        <v>1333</v>
      </c>
      <c r="D199" s="11" t="s">
        <v>14</v>
      </c>
      <c r="E199" s="11" t="s">
        <v>15</v>
      </c>
      <c r="F199" s="15" t="s">
        <v>1334</v>
      </c>
      <c r="G199" s="16"/>
      <c r="H199" s="7" t="s">
        <v>1335</v>
      </c>
      <c r="I199" s="7" t="s">
        <v>1336</v>
      </c>
      <c r="J199" s="7" t="s">
        <v>1337</v>
      </c>
      <c r="K199" s="7" t="s">
        <v>1338</v>
      </c>
      <c r="L199" s="7" t="s">
        <v>1339</v>
      </c>
      <c r="M199" s="18">
        <v>6.1E7</v>
      </c>
      <c r="N199" s="3">
        <f>STANDARDIZE(M199,Profiling!$C$2, Profiling!$B$2)</f>
        <v>0.246523363</v>
      </c>
      <c r="O199" s="18">
        <v>3.123E8</v>
      </c>
      <c r="P199" s="3">
        <f>STANDARDIZE(O199,Profiling!$C$3, Profiling!$B$3)</f>
        <v>0.8748267719</v>
      </c>
      <c r="Q199" s="3"/>
      <c r="R199" s="3"/>
    </row>
    <row r="200">
      <c r="A200" s="11" t="s">
        <v>1340</v>
      </c>
      <c r="B200" s="20">
        <v>42029.0</v>
      </c>
      <c r="C200" s="13" t="s">
        <v>1341</v>
      </c>
      <c r="D200" s="11" t="s">
        <v>17</v>
      </c>
      <c r="E200" s="11" t="s">
        <v>20</v>
      </c>
      <c r="F200" s="15" t="s">
        <v>1342</v>
      </c>
      <c r="G200" s="16"/>
      <c r="H200" s="7" t="s">
        <v>841</v>
      </c>
      <c r="I200" s="7" t="s">
        <v>1343</v>
      </c>
      <c r="J200" s="7" t="s">
        <v>1344</v>
      </c>
      <c r="K200" s="7" t="s">
        <v>847</v>
      </c>
      <c r="L200" s="7" t="s">
        <v>1345</v>
      </c>
      <c r="M200" s="18">
        <v>8000000.0</v>
      </c>
      <c r="N200" s="3">
        <f>STANDARDIZE(M200,Profiling!$C$2, Profiling!$B$2)</f>
        <v>-0.8307432377</v>
      </c>
      <c r="O200" s="18">
        <v>9100000.0</v>
      </c>
      <c r="P200" s="3">
        <f>STANDARDIZE(O200,Profiling!$C$3, Profiling!$B$3)</f>
        <v>-0.7796940991</v>
      </c>
      <c r="Q200" s="3"/>
      <c r="R200" s="3"/>
    </row>
    <row r="201">
      <c r="A201" s="11" t="s">
        <v>1346</v>
      </c>
      <c r="B201" s="20">
        <v>42524.0</v>
      </c>
      <c r="C201" s="13" t="s">
        <v>1347</v>
      </c>
      <c r="D201" s="11" t="s">
        <v>20</v>
      </c>
      <c r="E201" s="11" t="s">
        <v>22</v>
      </c>
      <c r="F201" s="15" t="s">
        <v>1348</v>
      </c>
      <c r="G201" s="16"/>
      <c r="H201" s="7" t="s">
        <v>1349</v>
      </c>
      <c r="I201" s="7" t="s">
        <v>1350</v>
      </c>
      <c r="J201" s="7" t="s">
        <v>1351</v>
      </c>
      <c r="K201" s="7" t="s">
        <v>1352</v>
      </c>
      <c r="L201" s="7" t="s">
        <v>1353</v>
      </c>
      <c r="M201" s="18">
        <v>2.0E7</v>
      </c>
      <c r="N201" s="3">
        <f>STANDARDIZE(M201,Profiling!$C$2, Profiling!$B$2)</f>
        <v>-0.5868338187</v>
      </c>
      <c r="O201" s="18">
        <v>1.962E8</v>
      </c>
      <c r="P201" s="3">
        <f>STANDARDIZE(O201,Profiling!$C$3, Profiling!$B$3)</f>
        <v>0.241284974</v>
      </c>
      <c r="Q201" s="3"/>
      <c r="R201" s="3"/>
    </row>
    <row r="202">
      <c r="A202" s="11" t="s">
        <v>1354</v>
      </c>
      <c r="B202" s="20">
        <v>42608.0</v>
      </c>
      <c r="C202" s="13" t="s">
        <v>1355</v>
      </c>
      <c r="D202" s="11" t="s">
        <v>15</v>
      </c>
      <c r="E202" s="17"/>
      <c r="F202" s="15" t="s">
        <v>1356</v>
      </c>
      <c r="G202" s="16"/>
      <c r="H202" s="7" t="s">
        <v>1357</v>
      </c>
      <c r="I202" s="7" t="s">
        <v>773</v>
      </c>
      <c r="J202" s="7" t="s">
        <v>560</v>
      </c>
      <c r="K202" s="7" t="s">
        <v>1358</v>
      </c>
      <c r="L202" s="17"/>
      <c r="M202" s="18">
        <v>4.0E7</v>
      </c>
      <c r="N202" s="3">
        <f>STANDARDIZE(M202,Profiling!$C$2, Profiling!$B$2)</f>
        <v>-0.1803181203</v>
      </c>
      <c r="O202" s="18">
        <v>7500000.0</v>
      </c>
      <c r="P202" s="3">
        <f>STANDARDIZE(O202,Profiling!$C$3, Profiling!$B$3)</f>
        <v>-0.7884250799</v>
      </c>
      <c r="Q202" s="3"/>
      <c r="R202" s="3"/>
    </row>
    <row r="203">
      <c r="A203" s="11" t="s">
        <v>1359</v>
      </c>
      <c r="B203" s="20">
        <v>41054.0</v>
      </c>
      <c r="C203" s="13" t="s">
        <v>1360</v>
      </c>
      <c r="D203" s="11" t="s">
        <v>17</v>
      </c>
      <c r="E203" s="11" t="s">
        <v>13</v>
      </c>
      <c r="F203" s="15" t="s">
        <v>1361</v>
      </c>
      <c r="G203" s="16"/>
      <c r="H203" s="7" t="s">
        <v>198</v>
      </c>
      <c r="I203" s="7" t="s">
        <v>560</v>
      </c>
      <c r="J203" s="7" t="s">
        <v>858</v>
      </c>
      <c r="K203" s="7" t="s">
        <v>1362</v>
      </c>
      <c r="L203" s="7" t="s">
        <v>186</v>
      </c>
      <c r="M203" s="18">
        <v>2.15E8</v>
      </c>
      <c r="N203" s="3">
        <f>STANDARDIZE(M203,Profiling!$C$2, Profiling!$B$2)</f>
        <v>3.37669424</v>
      </c>
      <c r="O203" s="18">
        <v>6.24E8</v>
      </c>
      <c r="P203" s="3">
        <f>STANDARDIZE(O203,Profiling!$C$3, Profiling!$B$3)</f>
        <v>2.575730979</v>
      </c>
      <c r="Q203" s="3"/>
      <c r="R203" s="3"/>
    </row>
    <row r="204">
      <c r="A204" s="11" t="s">
        <v>1363</v>
      </c>
      <c r="B204" s="20">
        <v>42412.0</v>
      </c>
      <c r="C204" s="13" t="s">
        <v>1364</v>
      </c>
      <c r="D204" s="11" t="s">
        <v>14</v>
      </c>
      <c r="E204" s="17"/>
      <c r="F204" s="15" t="s">
        <v>1365</v>
      </c>
      <c r="G204" s="16"/>
      <c r="H204" s="7" t="s">
        <v>1319</v>
      </c>
      <c r="I204" s="7" t="s">
        <v>1366</v>
      </c>
      <c r="J204" s="7" t="s">
        <v>822</v>
      </c>
      <c r="K204" s="7" t="s">
        <v>383</v>
      </c>
      <c r="L204" s="7" t="s">
        <v>1367</v>
      </c>
      <c r="M204" s="18">
        <v>1.8E7</v>
      </c>
      <c r="N204" s="3">
        <f>STANDARDIZE(M204,Profiling!$C$2, Profiling!$B$2)</f>
        <v>-0.6274853885</v>
      </c>
      <c r="O204" s="18">
        <v>6200000.0</v>
      </c>
      <c r="P204" s="3">
        <f>STANDARDIZE(O204,Profiling!$C$3, Profiling!$B$3)</f>
        <v>-0.7955190019</v>
      </c>
      <c r="Q204" s="3"/>
      <c r="R204" s="3"/>
    </row>
    <row r="205">
      <c r="A205" s="11" t="s">
        <v>1368</v>
      </c>
      <c r="B205" s="20">
        <v>42445.0</v>
      </c>
      <c r="C205" s="13" t="s">
        <v>1369</v>
      </c>
      <c r="D205" s="25" t="s">
        <v>20</v>
      </c>
      <c r="E205" s="11"/>
      <c r="F205" s="15" t="s">
        <v>1370</v>
      </c>
      <c r="G205" s="16"/>
      <c r="H205" s="7" t="s">
        <v>581</v>
      </c>
      <c r="I205" s="7" t="s">
        <v>1371</v>
      </c>
      <c r="J205" s="7" t="s">
        <v>1044</v>
      </c>
      <c r="K205" s="17"/>
      <c r="L205" s="17"/>
      <c r="M205" s="18">
        <v>1.3E7</v>
      </c>
      <c r="N205" s="3">
        <f>STANDARDIZE(M205,Profiling!$C$2, Profiling!$B$2)</f>
        <v>-0.7291143131</v>
      </c>
      <c r="O205" s="18">
        <v>7.36E7</v>
      </c>
      <c r="P205" s="3">
        <f>STANDARDIZE(O205,Profiling!$C$3, Profiling!$B$3)</f>
        <v>-0.4277264336</v>
      </c>
      <c r="Q205" s="3"/>
      <c r="R205" s="3"/>
    </row>
    <row r="206">
      <c r="A206" s="11" t="s">
        <v>1372</v>
      </c>
      <c r="B206" s="20">
        <v>40998.0</v>
      </c>
      <c r="C206" s="13" t="s">
        <v>1373</v>
      </c>
      <c r="D206" s="11" t="s">
        <v>13</v>
      </c>
      <c r="E206" s="11" t="s">
        <v>10</v>
      </c>
      <c r="F206" s="15" t="s">
        <v>1374</v>
      </c>
      <c r="G206" s="16"/>
      <c r="H206" s="7" t="s">
        <v>1375</v>
      </c>
      <c r="I206" s="7" t="s">
        <v>1376</v>
      </c>
      <c r="J206" s="7" t="s">
        <v>1377</v>
      </c>
      <c r="K206" s="7" t="s">
        <v>1378</v>
      </c>
      <c r="L206" s="7" t="s">
        <v>1379</v>
      </c>
      <c r="M206" s="18">
        <v>8.5E7</v>
      </c>
      <c r="N206" s="3">
        <f>STANDARDIZE(M206,Profiling!$C$2, Profiling!$B$2)</f>
        <v>0.734342201</v>
      </c>
      <c r="O206" s="18">
        <v>1.83E8</v>
      </c>
      <c r="P206" s="3">
        <f>STANDARDIZE(O206,Profiling!$C$3, Profiling!$B$3)</f>
        <v>0.169254382</v>
      </c>
      <c r="Q206" s="3"/>
      <c r="R206" s="3"/>
    </row>
    <row r="207">
      <c r="A207" s="11" t="s">
        <v>1380</v>
      </c>
      <c r="B207" s="20">
        <v>42208.0</v>
      </c>
      <c r="C207" s="13" t="s">
        <v>1381</v>
      </c>
      <c r="D207" s="11" t="s">
        <v>15</v>
      </c>
      <c r="E207" s="17"/>
      <c r="F207" s="15" t="s">
        <v>1111</v>
      </c>
      <c r="G207" s="16"/>
      <c r="H207" s="7" t="s">
        <v>727</v>
      </c>
      <c r="I207" s="7" t="s">
        <v>963</v>
      </c>
      <c r="J207" s="7" t="s">
        <v>1382</v>
      </c>
      <c r="K207" s="7" t="s">
        <v>1383</v>
      </c>
      <c r="L207" s="7" t="s">
        <v>816</v>
      </c>
      <c r="M207" s="18">
        <v>1.5E8</v>
      </c>
      <c r="N207" s="3">
        <f>STANDARDIZE(M207,Profiling!$C$2, Profiling!$B$2)</f>
        <v>2.055518221</v>
      </c>
      <c r="O207" s="18">
        <v>6.823E8</v>
      </c>
      <c r="P207" s="3">
        <f>STANDARDIZE(O207,Profiling!$C$3, Profiling!$B$3)</f>
        <v>2.893866093</v>
      </c>
      <c r="Q207" s="3"/>
      <c r="R207" s="3"/>
    </row>
    <row r="208">
      <c r="A208" s="11" t="s">
        <v>1384</v>
      </c>
      <c r="B208" s="20">
        <v>41768.0</v>
      </c>
      <c r="C208" s="13" t="s">
        <v>1385</v>
      </c>
      <c r="D208" s="25" t="s">
        <v>26</v>
      </c>
      <c r="E208" s="11" t="s">
        <v>17</v>
      </c>
      <c r="F208" s="15" t="s">
        <v>1386</v>
      </c>
      <c r="G208" s="16"/>
      <c r="H208" s="7" t="s">
        <v>1387</v>
      </c>
      <c r="I208" s="7" t="s">
        <v>1388</v>
      </c>
      <c r="J208" s="7" t="s">
        <v>1389</v>
      </c>
      <c r="K208" s="7" t="s">
        <v>1390</v>
      </c>
      <c r="L208" s="17"/>
      <c r="M208" s="18">
        <v>5000000.0</v>
      </c>
      <c r="N208" s="3">
        <f>STANDARDIZE(M208,Profiling!$C$2, Profiling!$B$2)</f>
        <v>-0.8917205925</v>
      </c>
      <c r="O208" s="18">
        <v>1.05E7</v>
      </c>
      <c r="P208" s="3">
        <f>STANDARDIZE(O208,Profiling!$C$3, Profiling!$B$3)</f>
        <v>-0.7720544909</v>
      </c>
      <c r="Q208" s="3"/>
      <c r="R208" s="3"/>
    </row>
    <row r="209">
      <c r="A209" s="11" t="s">
        <v>1391</v>
      </c>
      <c r="B209" s="20">
        <v>42503.0</v>
      </c>
      <c r="C209" s="13" t="s">
        <v>1392</v>
      </c>
      <c r="D209" s="11" t="s">
        <v>20</v>
      </c>
      <c r="E209" s="17"/>
      <c r="F209" s="15" t="s">
        <v>732</v>
      </c>
      <c r="G209" s="16"/>
      <c r="H209" s="7" t="s">
        <v>950</v>
      </c>
      <c r="I209" s="7" t="s">
        <v>1376</v>
      </c>
      <c r="J209" s="7" t="s">
        <v>112</v>
      </c>
      <c r="K209" s="7" t="s">
        <v>1393</v>
      </c>
      <c r="L209" s="7" t="s">
        <v>1394</v>
      </c>
      <c r="M209" s="18">
        <v>2.7E7</v>
      </c>
      <c r="N209" s="3">
        <f>STANDARDIZE(M209,Profiling!$C$2, Profiling!$B$2)</f>
        <v>-0.4445533243</v>
      </c>
      <c r="O209" s="18">
        <v>9.31E7</v>
      </c>
      <c r="P209" s="3">
        <f>STANDARDIZE(O209,Profiling!$C$3, Profiling!$B$3)</f>
        <v>-0.3213176045</v>
      </c>
      <c r="Q209" s="3"/>
      <c r="R209" s="3"/>
    </row>
    <row r="210">
      <c r="A210" s="11" t="s">
        <v>1395</v>
      </c>
      <c r="B210" s="20">
        <v>42391.0</v>
      </c>
      <c r="C210" s="13" t="s">
        <v>1396</v>
      </c>
      <c r="D210" s="11" t="s">
        <v>15</v>
      </c>
      <c r="E210" s="11" t="s">
        <v>17</v>
      </c>
      <c r="F210" s="15" t="s">
        <v>1397</v>
      </c>
      <c r="G210" s="16"/>
      <c r="H210" s="7" t="s">
        <v>1398</v>
      </c>
      <c r="I210" s="7" t="s">
        <v>1399</v>
      </c>
      <c r="J210" s="7" t="s">
        <v>1400</v>
      </c>
      <c r="K210" s="7" t="s">
        <v>1401</v>
      </c>
      <c r="L210" s="17"/>
      <c r="M210" s="18">
        <v>5.6E7</v>
      </c>
      <c r="N210" s="3">
        <f>STANDARDIZE(M210,Profiling!$C$2, Profiling!$B$2)</f>
        <v>0.1448944384</v>
      </c>
      <c r="O210" s="18">
        <v>3.852E8</v>
      </c>
      <c r="P210" s="3">
        <f>STANDARDIZE(O210,Profiling!$C$3, Profiling!$B$3)</f>
        <v>1.272632087</v>
      </c>
      <c r="Q210" s="3"/>
      <c r="R210" s="3"/>
    </row>
    <row r="211">
      <c r="A211" s="11" t="s">
        <v>1402</v>
      </c>
      <c r="B211" s="20">
        <v>41054.0</v>
      </c>
      <c r="C211" s="13" t="s">
        <v>1403</v>
      </c>
      <c r="D211" s="11" t="s">
        <v>17</v>
      </c>
      <c r="E211" s="11" t="s">
        <v>22</v>
      </c>
      <c r="F211" s="15" t="s">
        <v>1404</v>
      </c>
      <c r="G211" s="16"/>
      <c r="H211" s="7" t="s">
        <v>1405</v>
      </c>
      <c r="I211" s="7" t="s">
        <v>1406</v>
      </c>
      <c r="J211" s="7" t="s">
        <v>126</v>
      </c>
      <c r="K211" s="7" t="s">
        <v>1407</v>
      </c>
      <c r="L211" s="7" t="s">
        <v>223</v>
      </c>
      <c r="M211" s="18">
        <v>1.6E7</v>
      </c>
      <c r="N211" s="3">
        <f>STANDARDIZE(M211,Profiling!$C$2, Profiling!$B$2)</f>
        <v>-0.6681369584</v>
      </c>
      <c r="O211" s="18">
        <v>6.83E7</v>
      </c>
      <c r="P211" s="3">
        <f>STANDARDIZE(O211,Profiling!$C$3, Profiling!$B$3)</f>
        <v>-0.4566478077</v>
      </c>
      <c r="Q211" s="3"/>
      <c r="R211" s="3"/>
    </row>
    <row r="212">
      <c r="A212" s="11" t="s">
        <v>1408</v>
      </c>
      <c r="B212" s="20">
        <v>42027.0</v>
      </c>
      <c r="C212" s="13" t="s">
        <v>1409</v>
      </c>
      <c r="D212" s="11" t="s">
        <v>15</v>
      </c>
      <c r="E212" s="11" t="s">
        <v>17</v>
      </c>
      <c r="F212" s="15" t="s">
        <v>1117</v>
      </c>
      <c r="G212" s="16"/>
      <c r="H212" s="7" t="s">
        <v>382</v>
      </c>
      <c r="I212" s="7" t="s">
        <v>1126</v>
      </c>
      <c r="J212" s="7" t="s">
        <v>622</v>
      </c>
      <c r="K212" s="7" t="s">
        <v>1410</v>
      </c>
      <c r="L212" s="7" t="s">
        <v>1411</v>
      </c>
      <c r="M212" s="18">
        <v>6.0E7</v>
      </c>
      <c r="N212" s="3">
        <f>STANDARDIZE(M212,Profiling!$C$2, Profiling!$B$2)</f>
        <v>0.2261975781</v>
      </c>
      <c r="O212" s="18">
        <v>4.7E7</v>
      </c>
      <c r="P212" s="3">
        <f>STANDARDIZE(O212,Profiling!$C$3, Profiling!$B$3)</f>
        <v>-0.5728789902</v>
      </c>
      <c r="Q212" s="3"/>
      <c r="R212" s="3"/>
    </row>
    <row r="213">
      <c r="A213" s="11" t="s">
        <v>1412</v>
      </c>
      <c r="B213" s="20">
        <v>42473.0</v>
      </c>
      <c r="C213" s="13" t="s">
        <v>1413</v>
      </c>
      <c r="D213" s="11" t="s">
        <v>17</v>
      </c>
      <c r="E213" s="11" t="s">
        <v>20</v>
      </c>
      <c r="F213" s="15" t="s">
        <v>1414</v>
      </c>
      <c r="G213" s="16"/>
      <c r="H213" s="7" t="s">
        <v>1009</v>
      </c>
      <c r="I213" s="7" t="s">
        <v>1376</v>
      </c>
      <c r="J213" s="7" t="s">
        <v>1415</v>
      </c>
      <c r="K213" s="7" t="s">
        <v>1416</v>
      </c>
      <c r="L213" s="7" t="s">
        <v>767</v>
      </c>
      <c r="M213" s="18">
        <v>2.5E7</v>
      </c>
      <c r="N213" s="3">
        <f>STANDARDIZE(M213,Profiling!$C$2, Profiling!$B$2)</f>
        <v>-0.4852048941</v>
      </c>
      <c r="O213" s="18">
        <v>4.38E7</v>
      </c>
      <c r="P213" s="3">
        <f>STANDARDIZE(O213,Profiling!$C$3, Profiling!$B$3)</f>
        <v>-0.5903409519</v>
      </c>
      <c r="Q213" s="3"/>
      <c r="R213" s="3"/>
    </row>
    <row r="214">
      <c r="A214" s="11" t="s">
        <v>1417</v>
      </c>
      <c r="B214" s="20">
        <v>41677.0</v>
      </c>
      <c r="C214" s="13" t="s">
        <v>1418</v>
      </c>
      <c r="D214" s="11" t="s">
        <v>11</v>
      </c>
      <c r="E214" s="17"/>
      <c r="F214" s="15" t="s">
        <v>1419</v>
      </c>
      <c r="G214" s="16"/>
      <c r="H214" s="7" t="s">
        <v>1420</v>
      </c>
      <c r="I214" s="7" t="s">
        <v>244</v>
      </c>
      <c r="J214" s="7" t="s">
        <v>1421</v>
      </c>
      <c r="K214" s="7" t="s">
        <v>173</v>
      </c>
      <c r="L214" s="7" t="s">
        <v>1422</v>
      </c>
      <c r="M214" s="18">
        <v>1.45E8</v>
      </c>
      <c r="N214" s="3">
        <f>STANDARDIZE(M214,Profiling!$C$2, Profiling!$B$2)</f>
        <v>1.953889296</v>
      </c>
      <c r="O214" s="18">
        <v>2.757E8</v>
      </c>
      <c r="P214" s="3">
        <f>STANDARDIZE(O214,Profiling!$C$3, Profiling!$B$3)</f>
        <v>0.675105585</v>
      </c>
      <c r="Q214" s="3"/>
      <c r="R214" s="3"/>
    </row>
    <row r="215">
      <c r="A215" s="11" t="s">
        <v>1423</v>
      </c>
      <c r="B215" s="20">
        <v>41390.0</v>
      </c>
      <c r="C215" s="13" t="s">
        <v>1424</v>
      </c>
      <c r="D215" s="11" t="s">
        <v>20</v>
      </c>
      <c r="E215" s="17"/>
      <c r="F215" s="15" t="s">
        <v>1365</v>
      </c>
      <c r="G215" s="16"/>
      <c r="H215" s="7" t="s">
        <v>828</v>
      </c>
      <c r="I215" s="7" t="s">
        <v>1013</v>
      </c>
      <c r="J215" s="7" t="s">
        <v>1319</v>
      </c>
      <c r="K215" s="7" t="s">
        <v>472</v>
      </c>
      <c r="L215" s="7" t="s">
        <v>1367</v>
      </c>
      <c r="M215" s="18">
        <v>1.0E7</v>
      </c>
      <c r="N215" s="3">
        <f>STANDARDIZE(M215,Profiling!$C$2, Profiling!$B$2)</f>
        <v>-0.7900916679</v>
      </c>
      <c r="O215" s="18">
        <v>3.26E7</v>
      </c>
      <c r="P215" s="3">
        <f>STANDARDIZE(O215,Profiling!$C$3, Profiling!$B$3)</f>
        <v>-0.6514578179</v>
      </c>
      <c r="Q215" s="3"/>
      <c r="R215" s="3"/>
    </row>
    <row r="216">
      <c r="A216" s="11" t="s">
        <v>1425</v>
      </c>
      <c r="B216" s="20">
        <v>42143.0</v>
      </c>
      <c r="C216" s="13" t="s">
        <v>1426</v>
      </c>
      <c r="D216" s="11" t="s">
        <v>20</v>
      </c>
      <c r="E216" s="17"/>
      <c r="F216" s="15" t="s">
        <v>1427</v>
      </c>
      <c r="G216" s="16"/>
      <c r="H216" s="7" t="s">
        <v>1428</v>
      </c>
      <c r="I216" s="17"/>
      <c r="J216" s="17"/>
      <c r="K216" s="17"/>
      <c r="L216" s="17"/>
      <c r="M216" s="18">
        <v>1300000.0</v>
      </c>
      <c r="N216" s="3">
        <f>STANDARDIZE(M216,Profiling!$C$2, Profiling!$B$2)</f>
        <v>-0.9669259967</v>
      </c>
      <c r="O216" s="18">
        <v>4900000.0</v>
      </c>
      <c r="P216" s="3">
        <f>STANDARDIZE(O216,Profiling!$C$3, Profiling!$B$3)</f>
        <v>-0.8026129238</v>
      </c>
      <c r="Q216" s="3"/>
      <c r="R216" s="3"/>
    </row>
    <row r="217">
      <c r="A217" s="11" t="s">
        <v>1429</v>
      </c>
      <c r="B217" s="20">
        <v>42321.0</v>
      </c>
      <c r="C217" s="13" t="s">
        <v>1430</v>
      </c>
      <c r="D217" s="11" t="s">
        <v>24</v>
      </c>
      <c r="E217" s="11" t="s">
        <v>27</v>
      </c>
      <c r="F217" s="15" t="s">
        <v>1431</v>
      </c>
      <c r="G217" s="16"/>
      <c r="H217" s="7" t="s">
        <v>1279</v>
      </c>
      <c r="I217" s="7" t="s">
        <v>1432</v>
      </c>
      <c r="J217" s="7" t="s">
        <v>1433</v>
      </c>
      <c r="K217" s="7" t="s">
        <v>1434</v>
      </c>
      <c r="L217" s="7" t="s">
        <v>1435</v>
      </c>
      <c r="M217" s="18">
        <v>2.0E7</v>
      </c>
      <c r="N217" s="3">
        <f>STANDARDIZE(M217,Profiling!$C$2, Profiling!$B$2)</f>
        <v>-0.5868338187</v>
      </c>
      <c r="O217" s="18">
        <v>2200000.0</v>
      </c>
      <c r="P217" s="3">
        <f>STANDARDIZE(O217,Profiling!$C$3, Profiling!$B$3)</f>
        <v>-0.817346454</v>
      </c>
      <c r="Q217" s="3"/>
      <c r="R217" s="3"/>
    </row>
    <row r="218">
      <c r="A218" s="11" t="s">
        <v>1436</v>
      </c>
      <c r="B218" s="20">
        <v>42454.0</v>
      </c>
      <c r="C218" s="13" t="s">
        <v>1437</v>
      </c>
      <c r="D218" s="25" t="s">
        <v>22</v>
      </c>
      <c r="E218" s="11" t="s">
        <v>17</v>
      </c>
      <c r="F218" s="15" t="s">
        <v>1438</v>
      </c>
      <c r="G218" s="16"/>
      <c r="H218" s="7" t="s">
        <v>1439</v>
      </c>
      <c r="I218" s="7" t="s">
        <v>1440</v>
      </c>
      <c r="J218" s="7" t="s">
        <v>1441</v>
      </c>
      <c r="K218" s="7" t="s">
        <v>1442</v>
      </c>
      <c r="L218" s="17"/>
      <c r="M218" s="18">
        <v>1.8E7</v>
      </c>
      <c r="N218" s="3">
        <f>STANDARDIZE(M218,Profiling!$C$2, Profiling!$B$2)</f>
        <v>-0.6274853885</v>
      </c>
      <c r="O218" s="18">
        <v>8.89E7</v>
      </c>
      <c r="P218" s="3">
        <f>STANDARDIZE(O218,Profiling!$C$3, Profiling!$B$3)</f>
        <v>-0.3442364292</v>
      </c>
      <c r="Q218" s="3"/>
      <c r="R218" s="3"/>
    </row>
    <row r="219">
      <c r="A219" s="11" t="s">
        <v>1443</v>
      </c>
      <c r="B219" s="20">
        <v>41710.0</v>
      </c>
      <c r="C219" s="13" t="s">
        <v>1444</v>
      </c>
      <c r="D219" s="11" t="s">
        <v>15</v>
      </c>
      <c r="E219" s="17"/>
      <c r="F219" s="15" t="s">
        <v>1445</v>
      </c>
      <c r="G219" s="16"/>
      <c r="H219" s="7" t="s">
        <v>148</v>
      </c>
      <c r="I219" s="7" t="s">
        <v>149</v>
      </c>
      <c r="J219" s="7" t="s">
        <v>191</v>
      </c>
      <c r="K219" s="7" t="s">
        <v>1446</v>
      </c>
      <c r="L219" s="7" t="s">
        <v>1447</v>
      </c>
      <c r="M219" s="18">
        <v>6.5E7</v>
      </c>
      <c r="N219" s="3">
        <f>STANDARDIZE(M219,Profiling!$C$2, Profiling!$B$2)</f>
        <v>0.3278265027</v>
      </c>
      <c r="O219" s="18">
        <v>2.033E8</v>
      </c>
      <c r="P219" s="3">
        <f>STANDARDIZE(O219,Profiling!$C$3, Profiling!$B$3)</f>
        <v>0.2800287015</v>
      </c>
      <c r="Q219" s="3"/>
      <c r="R219" s="3"/>
    </row>
    <row r="220">
      <c r="A220" s="11" t="s">
        <v>1448</v>
      </c>
      <c r="B220" s="20">
        <v>41706.0</v>
      </c>
      <c r="C220" s="13" t="s">
        <v>1449</v>
      </c>
      <c r="D220" s="11" t="s">
        <v>17</v>
      </c>
      <c r="E220" s="17"/>
      <c r="F220" s="15" t="s">
        <v>1450</v>
      </c>
      <c r="G220" s="16"/>
      <c r="H220" s="7" t="s">
        <v>1214</v>
      </c>
      <c r="I220" s="7" t="s">
        <v>680</v>
      </c>
      <c r="J220" s="7" t="s">
        <v>275</v>
      </c>
      <c r="K220" s="7" t="s">
        <v>1451</v>
      </c>
      <c r="L220" s="7" t="s">
        <v>1452</v>
      </c>
      <c r="M220" s="18">
        <v>1.8E7</v>
      </c>
      <c r="N220" s="3">
        <f>STANDARDIZE(M220,Profiling!$C$2, Profiling!$B$2)</f>
        <v>-0.6274853885</v>
      </c>
      <c r="O220" s="18">
        <v>2.707E8</v>
      </c>
      <c r="P220" s="3">
        <f>STANDARDIZE(O220,Profiling!$C$3, Profiling!$B$3)</f>
        <v>0.6478212698</v>
      </c>
      <c r="Q220" s="3"/>
      <c r="R220" s="3"/>
    </row>
    <row r="221">
      <c r="A221" s="11" t="s">
        <v>1453</v>
      </c>
      <c r="B221" s="20">
        <v>42510.0</v>
      </c>
      <c r="C221" s="13" t="s">
        <v>1454</v>
      </c>
      <c r="D221" s="11" t="s">
        <v>17</v>
      </c>
      <c r="E221" s="17"/>
      <c r="F221" s="15" t="s">
        <v>1450</v>
      </c>
      <c r="G221" s="16"/>
      <c r="H221" s="7" t="s">
        <v>1214</v>
      </c>
      <c r="I221" s="7" t="s">
        <v>680</v>
      </c>
      <c r="J221" s="7" t="s">
        <v>275</v>
      </c>
      <c r="K221" s="7" t="s">
        <v>1056</v>
      </c>
      <c r="L221" s="7" t="s">
        <v>1452</v>
      </c>
      <c r="M221" s="18">
        <v>3.5E7</v>
      </c>
      <c r="N221" s="3">
        <f>STANDARDIZE(M221,Profiling!$C$2, Profiling!$B$2)</f>
        <v>-0.2819470449</v>
      </c>
      <c r="O221" s="18">
        <v>1.079E8</v>
      </c>
      <c r="P221" s="3">
        <f>STANDARDIZE(O221,Profiling!$C$3, Profiling!$B$3)</f>
        <v>-0.2405560316</v>
      </c>
      <c r="Q221" s="3"/>
      <c r="R221" s="3"/>
    </row>
    <row r="222">
      <c r="A222" s="11" t="s">
        <v>1455</v>
      </c>
      <c r="B222" s="20">
        <v>42578.0</v>
      </c>
      <c r="C222" s="13" t="s">
        <v>1456</v>
      </c>
      <c r="D222" s="11" t="s">
        <v>19</v>
      </c>
      <c r="E222" s="17"/>
      <c r="F222" s="15" t="s">
        <v>1457</v>
      </c>
      <c r="G222" s="15" t="s">
        <v>1458</v>
      </c>
      <c r="H222" s="7" t="s">
        <v>1452</v>
      </c>
      <c r="I222" s="7" t="s">
        <v>1459</v>
      </c>
      <c r="J222" s="7" t="s">
        <v>1460</v>
      </c>
      <c r="K222" s="7" t="s">
        <v>1461</v>
      </c>
      <c r="L222" s="7" t="s">
        <v>1462</v>
      </c>
      <c r="M222" s="18">
        <v>2.0E7</v>
      </c>
      <c r="N222" s="3">
        <f>STANDARDIZE(M222,Profiling!$C$2, Profiling!$B$2)</f>
        <v>-0.5868338187</v>
      </c>
      <c r="O222" s="18">
        <v>4.76E7</v>
      </c>
      <c r="P222" s="3">
        <f>STANDARDIZE(O222,Profiling!$C$3, Profiling!$B$3)</f>
        <v>-0.5696048724</v>
      </c>
      <c r="Q222" s="3"/>
      <c r="R222" s="3"/>
    </row>
    <row r="223">
      <c r="A223" s="11" t="s">
        <v>1463</v>
      </c>
      <c r="B223" s="20">
        <v>41984.0</v>
      </c>
      <c r="C223" s="13" t="s">
        <v>1464</v>
      </c>
      <c r="D223" s="11" t="s">
        <v>17</v>
      </c>
      <c r="E223" s="17"/>
      <c r="F223" s="15" t="s">
        <v>1465</v>
      </c>
      <c r="G223" s="16"/>
      <c r="H223" s="7" t="s">
        <v>1466</v>
      </c>
      <c r="I223" s="7" t="s">
        <v>1467</v>
      </c>
      <c r="J223" s="7" t="s">
        <v>178</v>
      </c>
      <c r="K223" s="7" t="s">
        <v>1468</v>
      </c>
      <c r="L223" s="7" t="s">
        <v>1469</v>
      </c>
      <c r="M223" s="18">
        <v>1.27E8</v>
      </c>
      <c r="N223" s="3">
        <f>STANDARDIZE(M223,Profiling!$C$2, Profiling!$B$2)</f>
        <v>1.588025168</v>
      </c>
      <c r="O223" s="18">
        <v>3.632E8</v>
      </c>
      <c r="P223" s="3">
        <f>STANDARDIZE(O223,Profiling!$C$3, Profiling!$B$3)</f>
        <v>1.1525811</v>
      </c>
      <c r="Q223" s="3"/>
      <c r="R223" s="3"/>
    </row>
    <row r="224">
      <c r="A224" s="11" t="s">
        <v>1470</v>
      </c>
      <c r="B224" s="20">
        <v>41887.0</v>
      </c>
      <c r="C224" s="13" t="s">
        <v>1471</v>
      </c>
      <c r="D224" s="11" t="s">
        <v>20</v>
      </c>
      <c r="E224" s="17"/>
      <c r="F224" s="15" t="s">
        <v>1472</v>
      </c>
      <c r="G224" s="16"/>
      <c r="H224" s="7" t="s">
        <v>744</v>
      </c>
      <c r="I224" s="7" t="s">
        <v>79</v>
      </c>
      <c r="J224" s="7" t="s">
        <v>1473</v>
      </c>
      <c r="K224" s="7" t="s">
        <v>1132</v>
      </c>
      <c r="L224" s="17"/>
      <c r="M224" s="18">
        <v>8500000.0</v>
      </c>
      <c r="N224" s="3">
        <f>STANDARDIZE(M224,Profiling!$C$2, Profiling!$B$2)</f>
        <v>-0.8205803453</v>
      </c>
      <c r="O224" s="18">
        <v>5.03E7</v>
      </c>
      <c r="P224" s="3">
        <f>STANDARDIZE(O224,Profiling!$C$3, Profiling!$B$3)</f>
        <v>-0.5548713422</v>
      </c>
      <c r="Q224" s="3"/>
      <c r="R224" s="3"/>
    </row>
    <row r="225">
      <c r="A225" s="11" t="s">
        <v>1474</v>
      </c>
      <c r="B225" s="20">
        <v>42587.0</v>
      </c>
      <c r="C225" s="13" t="s">
        <v>1475</v>
      </c>
      <c r="D225" s="11" t="s">
        <v>17</v>
      </c>
      <c r="E225" s="17"/>
      <c r="F225" s="15" t="s">
        <v>1361</v>
      </c>
      <c r="G225" s="16"/>
      <c r="H225" s="7" t="s">
        <v>1008</v>
      </c>
      <c r="I225" s="7" t="s">
        <v>1476</v>
      </c>
      <c r="J225" s="7" t="s">
        <v>581</v>
      </c>
      <c r="K225" s="7" t="s">
        <v>723</v>
      </c>
      <c r="L225" s="7" t="s">
        <v>1477</v>
      </c>
      <c r="M225" s="18">
        <v>3.0E7</v>
      </c>
      <c r="N225" s="3">
        <f>STANDARDIZE(M225,Profiling!$C$2, Profiling!$B$2)</f>
        <v>-0.3835759695</v>
      </c>
      <c r="O225" s="18">
        <v>1.91E7</v>
      </c>
      <c r="P225" s="3">
        <f>STANDARDIZE(O225,Profiling!$C$3, Profiling!$B$3)</f>
        <v>-0.7251254688</v>
      </c>
      <c r="Q225" s="3"/>
      <c r="R225" s="3"/>
    </row>
    <row r="226">
      <c r="A226" s="11" t="s">
        <v>1478</v>
      </c>
      <c r="B226" s="20">
        <v>42233.0</v>
      </c>
      <c r="C226" s="13" t="s">
        <v>1479</v>
      </c>
      <c r="D226" s="11" t="s">
        <v>15</v>
      </c>
      <c r="E226" s="11" t="s">
        <v>19</v>
      </c>
      <c r="F226" s="15" t="s">
        <v>292</v>
      </c>
      <c r="G226" s="16"/>
      <c r="H226" s="7" t="s">
        <v>1468</v>
      </c>
      <c r="I226" s="7" t="s">
        <v>147</v>
      </c>
      <c r="J226" s="7" t="s">
        <v>1480</v>
      </c>
      <c r="K226" s="17"/>
      <c r="L226" s="17"/>
      <c r="M226" s="18">
        <v>5000000.0</v>
      </c>
      <c r="N226" s="3">
        <f>STANDARDIZE(M226,Profiling!$C$2, Profiling!$B$2)</f>
        <v>-0.8917205925</v>
      </c>
      <c r="O226" s="18">
        <v>5.44E7</v>
      </c>
      <c r="P226" s="3">
        <f>STANDARDIZE(O226,Profiling!$C$3, Profiling!$B$3)</f>
        <v>-0.5324982038</v>
      </c>
      <c r="Q226" s="3"/>
      <c r="R226" s="3"/>
    </row>
    <row r="227">
      <c r="A227" s="11" t="s">
        <v>1481</v>
      </c>
      <c r="B227" s="20">
        <v>41894.0</v>
      </c>
      <c r="C227" s="13" t="s">
        <v>1482</v>
      </c>
      <c r="D227" s="11" t="s">
        <v>25</v>
      </c>
      <c r="E227" s="17"/>
      <c r="F227" s="15" t="s">
        <v>1483</v>
      </c>
      <c r="G227" s="16"/>
      <c r="H227" s="7" t="s">
        <v>885</v>
      </c>
      <c r="I227" s="7" t="s">
        <v>1484</v>
      </c>
      <c r="J227" s="7" t="s">
        <v>1485</v>
      </c>
      <c r="K227" s="17"/>
      <c r="L227" s="17"/>
      <c r="M227" s="18">
        <v>1.32E7</v>
      </c>
      <c r="N227" s="3">
        <f>STANDARDIZE(M227,Profiling!$C$2, Profiling!$B$2)</f>
        <v>-0.7250491561</v>
      </c>
      <c r="O227" s="18">
        <v>5.43E7</v>
      </c>
      <c r="P227" s="3">
        <f>STANDARDIZE(O227,Profiling!$C$3, Profiling!$B$3)</f>
        <v>-0.5330438901</v>
      </c>
      <c r="Q227" s="3"/>
      <c r="R227" s="3"/>
    </row>
    <row r="228">
      <c r="A228" s="11" t="s">
        <v>1486</v>
      </c>
      <c r="B228" s="20">
        <v>41404.0</v>
      </c>
      <c r="C228" s="13" t="s">
        <v>1487</v>
      </c>
      <c r="D228" s="11" t="s">
        <v>18</v>
      </c>
      <c r="E228" s="17"/>
      <c r="F228" s="15" t="s">
        <v>1488</v>
      </c>
      <c r="G228" s="16"/>
      <c r="H228" s="7" t="s">
        <v>686</v>
      </c>
      <c r="I228" s="7" t="s">
        <v>1489</v>
      </c>
      <c r="J228" s="7" t="s">
        <v>1490</v>
      </c>
      <c r="K228" s="7" t="s">
        <v>1491</v>
      </c>
      <c r="L228" s="7" t="s">
        <v>1492</v>
      </c>
      <c r="M228" s="18">
        <v>2900000.0</v>
      </c>
      <c r="N228" s="3">
        <f>STANDARDIZE(M228,Profiling!$C$2, Profiling!$B$2)</f>
        <v>-0.9344047408</v>
      </c>
      <c r="O228" s="18">
        <v>1000000.0</v>
      </c>
      <c r="P228" s="3">
        <f>STANDARDIZE(O228,Profiling!$C$3, Profiling!$B$3)</f>
        <v>-0.8238946897</v>
      </c>
      <c r="Q228" s="3"/>
      <c r="R228" s="3"/>
    </row>
    <row r="229">
      <c r="A229" s="11" t="s">
        <v>1493</v>
      </c>
      <c r="B229" s="20">
        <v>41708.0</v>
      </c>
      <c r="C229" s="13" t="s">
        <v>1494</v>
      </c>
      <c r="D229" s="11" t="s">
        <v>10</v>
      </c>
      <c r="E229" s="11" t="s">
        <v>20</v>
      </c>
      <c r="F229" s="15" t="s">
        <v>1495</v>
      </c>
      <c r="G229" s="16"/>
      <c r="H229" s="7" t="s">
        <v>1233</v>
      </c>
      <c r="I229" s="7" t="s">
        <v>1496</v>
      </c>
      <c r="J229" s="7" t="s">
        <v>846</v>
      </c>
      <c r="K229" s="7" t="s">
        <v>1497</v>
      </c>
      <c r="L229" s="7" t="s">
        <v>1498</v>
      </c>
      <c r="M229" s="18">
        <v>1.25E8</v>
      </c>
      <c r="N229" s="3">
        <f>STANDARDIZE(M229,Profiling!$C$2, Profiling!$B$2)</f>
        <v>1.547373598</v>
      </c>
      <c r="O229" s="18">
        <v>3.626E8</v>
      </c>
      <c r="P229" s="3">
        <f>STANDARDIZE(O229,Profiling!$C$3, Profiling!$B$3)</f>
        <v>1.149306982</v>
      </c>
      <c r="Q229" s="3"/>
      <c r="R229" s="3"/>
    </row>
    <row r="230">
      <c r="A230" s="11" t="s">
        <v>1499</v>
      </c>
      <c r="B230" s="20">
        <v>41666.0</v>
      </c>
      <c r="C230" s="13" t="s">
        <v>1500</v>
      </c>
      <c r="D230" s="11" t="s">
        <v>19</v>
      </c>
      <c r="E230" s="17"/>
      <c r="F230" s="15" t="s">
        <v>1501</v>
      </c>
      <c r="G230" s="16"/>
      <c r="H230" s="7" t="s">
        <v>177</v>
      </c>
      <c r="I230" s="7" t="s">
        <v>1502</v>
      </c>
      <c r="J230" s="7" t="s">
        <v>1503</v>
      </c>
      <c r="K230" s="7" t="s">
        <v>369</v>
      </c>
      <c r="L230" s="7" t="s">
        <v>1504</v>
      </c>
      <c r="M230" s="18">
        <v>5.0E7</v>
      </c>
      <c r="N230" s="3">
        <f>STANDARDIZE(M230,Profiling!$C$2, Profiling!$B$2)</f>
        <v>0.02293972887</v>
      </c>
      <c r="O230" s="18">
        <v>2.228E8</v>
      </c>
      <c r="P230" s="3">
        <f>STANDARDIZE(O230,Profiling!$C$3, Profiling!$B$3)</f>
        <v>0.3864375306</v>
      </c>
      <c r="Q230" s="3"/>
      <c r="R230" s="3"/>
    </row>
    <row r="231">
      <c r="A231" s="11" t="s">
        <v>1505</v>
      </c>
      <c r="B231" s="20">
        <v>41425.0</v>
      </c>
      <c r="C231" s="13" t="s">
        <v>1506</v>
      </c>
      <c r="D231" s="11" t="s">
        <v>25</v>
      </c>
      <c r="E231" s="17"/>
      <c r="F231" s="15" t="s">
        <v>1507</v>
      </c>
      <c r="G231" s="16"/>
      <c r="H231" s="7" t="s">
        <v>249</v>
      </c>
      <c r="I231" s="7" t="s">
        <v>1508</v>
      </c>
      <c r="J231" s="7" t="s">
        <v>362</v>
      </c>
      <c r="K231" s="7" t="s">
        <v>1509</v>
      </c>
      <c r="L231" s="7" t="s">
        <v>1510</v>
      </c>
      <c r="M231" s="18">
        <v>7.5E7</v>
      </c>
      <c r="N231" s="3">
        <f>STANDARDIZE(M231,Profiling!$C$2, Profiling!$B$2)</f>
        <v>0.5310843518</v>
      </c>
      <c r="O231" s="18">
        <v>3.517E8</v>
      </c>
      <c r="P231" s="3">
        <f>STANDARDIZE(O231,Profiling!$C$3, Profiling!$B$3)</f>
        <v>1.089827175</v>
      </c>
      <c r="Q231" s="3"/>
      <c r="R231" s="3"/>
    </row>
    <row r="232">
      <c r="A232" s="11" t="s">
        <v>1511</v>
      </c>
      <c r="B232" s="20">
        <v>42527.0</v>
      </c>
      <c r="C232" s="13" t="s">
        <v>1512</v>
      </c>
      <c r="D232" s="11" t="s">
        <v>19</v>
      </c>
      <c r="E232" s="17"/>
      <c r="F232" s="15" t="s">
        <v>1143</v>
      </c>
      <c r="G232" s="16"/>
      <c r="H232" s="7" t="s">
        <v>1510</v>
      </c>
      <c r="I232" s="7" t="s">
        <v>249</v>
      </c>
      <c r="J232" s="7" t="s">
        <v>1509</v>
      </c>
      <c r="K232" s="7" t="s">
        <v>1452</v>
      </c>
      <c r="L232" s="7" t="s">
        <v>1513</v>
      </c>
      <c r="M232" s="18">
        <v>9.0E7</v>
      </c>
      <c r="N232" s="3">
        <f>STANDARDIZE(M232,Profiling!$C$2, Profiling!$B$2)</f>
        <v>0.8359711256</v>
      </c>
      <c r="O232" s="18">
        <v>3.209E8</v>
      </c>
      <c r="P232" s="3">
        <f>STANDARDIZE(O232,Profiling!$C$3, Profiling!$B$3)</f>
        <v>0.921755794</v>
      </c>
      <c r="Q232" s="3"/>
      <c r="R232" s="3"/>
    </row>
    <row r="233">
      <c r="A233" s="11" t="s">
        <v>1514</v>
      </c>
      <c r="B233" s="20">
        <v>41374.0</v>
      </c>
      <c r="C233" s="13" t="s">
        <v>1515</v>
      </c>
      <c r="D233" s="11" t="s">
        <v>15</v>
      </c>
      <c r="E233" s="11" t="s">
        <v>14</v>
      </c>
      <c r="F233" s="15" t="s">
        <v>1516</v>
      </c>
      <c r="G233" s="16"/>
      <c r="H233" s="7" t="s">
        <v>727</v>
      </c>
      <c r="I233" s="7" t="s">
        <v>1517</v>
      </c>
      <c r="J233" s="7" t="s">
        <v>1518</v>
      </c>
      <c r="K233" s="7" t="s">
        <v>362</v>
      </c>
      <c r="L233" s="7" t="s">
        <v>914</v>
      </c>
      <c r="M233" s="18">
        <v>1.2E8</v>
      </c>
      <c r="N233" s="3">
        <f>STANDARDIZE(M233,Profiling!$C$2, Profiling!$B$2)</f>
        <v>1.445744673</v>
      </c>
      <c r="O233" s="18">
        <v>2.862E8</v>
      </c>
      <c r="P233" s="3">
        <f>STANDARDIZE(O233,Profiling!$C$3, Profiling!$B$3)</f>
        <v>0.7324026468</v>
      </c>
      <c r="Q233" s="3"/>
      <c r="R233" s="3"/>
    </row>
    <row r="234">
      <c r="A234" s="11" t="s">
        <v>1519</v>
      </c>
      <c r="B234" s="20">
        <v>41355.0</v>
      </c>
      <c r="C234" s="13" t="s">
        <v>1520</v>
      </c>
      <c r="D234" s="11" t="s">
        <v>15</v>
      </c>
      <c r="E234" s="17"/>
      <c r="F234" s="15" t="s">
        <v>1521</v>
      </c>
      <c r="G234" s="16"/>
      <c r="H234" s="7" t="s">
        <v>498</v>
      </c>
      <c r="I234" s="7" t="s">
        <v>1279</v>
      </c>
      <c r="J234" s="7" t="s">
        <v>362</v>
      </c>
      <c r="K234" s="7" t="s">
        <v>1522</v>
      </c>
      <c r="L234" s="7" t="s">
        <v>1523</v>
      </c>
      <c r="M234" s="18">
        <v>7.0E7</v>
      </c>
      <c r="N234" s="3">
        <f>STANDARDIZE(M234,Profiling!$C$2, Profiling!$B$2)</f>
        <v>0.4294554272</v>
      </c>
      <c r="O234" s="18">
        <v>1.61E8</v>
      </c>
      <c r="P234" s="3">
        <f>STANDARDIZE(O234,Profiling!$C$3, Profiling!$B$3)</f>
        <v>0.04920339531</v>
      </c>
      <c r="Q234" s="3"/>
      <c r="R234" s="3"/>
    </row>
    <row r="235">
      <c r="A235" s="11" t="s">
        <v>1524</v>
      </c>
      <c r="B235" s="20">
        <v>41515.0</v>
      </c>
      <c r="C235" s="13" t="s">
        <v>1525</v>
      </c>
      <c r="D235" s="11" t="s">
        <v>23</v>
      </c>
      <c r="E235" s="11" t="s">
        <v>21</v>
      </c>
      <c r="F235" s="15" t="s">
        <v>1526</v>
      </c>
      <c r="G235" s="16"/>
      <c r="H235" s="7" t="s">
        <v>1527</v>
      </c>
      <c r="I235" s="7" t="s">
        <v>1528</v>
      </c>
      <c r="J235" s="7" t="s">
        <v>1529</v>
      </c>
      <c r="K235" s="7" t="s">
        <v>1530</v>
      </c>
      <c r="L235" s="7" t="s">
        <v>1531</v>
      </c>
      <c r="M235" s="18">
        <v>1.0E7</v>
      </c>
      <c r="N235" s="3">
        <f>STANDARDIZE(M235,Profiling!$C$2, Profiling!$B$2)</f>
        <v>-0.7900916679</v>
      </c>
      <c r="O235" s="18">
        <v>6.85E7</v>
      </c>
      <c r="P235" s="3">
        <f>STANDARDIZE(O235,Profiling!$C$3, Profiling!$B$3)</f>
        <v>-0.4555564351</v>
      </c>
      <c r="Q235" s="3"/>
      <c r="R235" s="3"/>
    </row>
    <row r="236">
      <c r="A236" s="11" t="s">
        <v>1532</v>
      </c>
      <c r="B236" s="20">
        <v>40935.0</v>
      </c>
      <c r="C236" s="13" t="s">
        <v>1533</v>
      </c>
      <c r="D236" s="11" t="s">
        <v>25</v>
      </c>
      <c r="E236" s="11" t="s">
        <v>22</v>
      </c>
      <c r="F236" s="15" t="s">
        <v>1534</v>
      </c>
      <c r="G236" s="16"/>
      <c r="H236" s="7" t="s">
        <v>1535</v>
      </c>
      <c r="I236" s="7" t="s">
        <v>1536</v>
      </c>
      <c r="J236" s="7" t="s">
        <v>1537</v>
      </c>
      <c r="K236" s="7" t="s">
        <v>1538</v>
      </c>
      <c r="L236" s="7" t="s">
        <v>1539</v>
      </c>
      <c r="M236" s="18">
        <v>4.0E7</v>
      </c>
      <c r="N236" s="3">
        <f>STANDARDIZE(M236,Profiling!$C$2, Profiling!$B$2)</f>
        <v>-0.1803181203</v>
      </c>
      <c r="O236" s="18">
        <v>3.69E7</v>
      </c>
      <c r="P236" s="3">
        <f>STANDARDIZE(O236,Profiling!$C$3, Profiling!$B$3)</f>
        <v>-0.6279933068</v>
      </c>
      <c r="Q236" s="3"/>
      <c r="R236" s="3"/>
    </row>
    <row r="237">
      <c r="A237" s="11" t="s">
        <v>1540</v>
      </c>
      <c r="B237" s="20">
        <v>41936.0</v>
      </c>
      <c r="C237" s="13" t="s">
        <v>1541</v>
      </c>
      <c r="D237" s="11" t="s">
        <v>18</v>
      </c>
      <c r="E237" s="17"/>
      <c r="F237" s="15" t="s">
        <v>1542</v>
      </c>
      <c r="G237" s="16"/>
      <c r="H237" s="7" t="s">
        <v>1543</v>
      </c>
      <c r="I237" s="7" t="s">
        <v>1343</v>
      </c>
      <c r="J237" s="7" t="s">
        <v>1544</v>
      </c>
      <c r="K237" s="7" t="s">
        <v>1545</v>
      </c>
      <c r="L237" s="7" t="s">
        <v>1546</v>
      </c>
      <c r="M237" s="18">
        <v>5000000.0</v>
      </c>
      <c r="N237" s="3">
        <f>STANDARDIZE(M237,Profiling!$C$2, Profiling!$B$2)</f>
        <v>-0.8917205925</v>
      </c>
      <c r="O237" s="18">
        <v>1.036E8</v>
      </c>
      <c r="P237" s="3">
        <f>STANDARDIZE(O237,Profiling!$C$3, Profiling!$B$3)</f>
        <v>-0.2640205427</v>
      </c>
      <c r="Q237" s="3"/>
      <c r="R237" s="3"/>
    </row>
    <row r="238">
      <c r="A238" s="11" t="s">
        <v>1547</v>
      </c>
      <c r="B238" s="20">
        <v>42258.0</v>
      </c>
      <c r="C238" s="13" t="s">
        <v>1548</v>
      </c>
      <c r="D238" s="11" t="s">
        <v>17</v>
      </c>
      <c r="E238" s="11" t="s">
        <v>20</v>
      </c>
      <c r="F238" s="15" t="s">
        <v>1549</v>
      </c>
      <c r="G238" s="16"/>
      <c r="H238" s="7" t="s">
        <v>1550</v>
      </c>
      <c r="I238" s="7" t="s">
        <v>1194</v>
      </c>
      <c r="J238" s="7" t="s">
        <v>1551</v>
      </c>
      <c r="K238" s="7" t="s">
        <v>192</v>
      </c>
      <c r="L238" s="7" t="s">
        <v>1552</v>
      </c>
      <c r="M238" s="18">
        <v>2.8E7</v>
      </c>
      <c r="N238" s="3">
        <f>STANDARDIZE(M238,Profiling!$C$2, Profiling!$B$2)</f>
        <v>-0.4242275393</v>
      </c>
      <c r="O238" s="18">
        <v>8600000.0</v>
      </c>
      <c r="P238" s="3">
        <f>STANDARDIZE(O238,Profiling!$C$3, Profiling!$B$3)</f>
        <v>-0.7824225306</v>
      </c>
      <c r="Q238" s="3"/>
      <c r="R238" s="3"/>
    </row>
    <row r="239">
      <c r="A239" s="11" t="s">
        <v>1553</v>
      </c>
      <c r="B239" s="20">
        <v>41467.0</v>
      </c>
      <c r="C239" s="13" t="s">
        <v>1554</v>
      </c>
      <c r="D239" s="11" t="s">
        <v>15</v>
      </c>
      <c r="E239" s="11" t="s">
        <v>14</v>
      </c>
      <c r="F239" s="15" t="s">
        <v>565</v>
      </c>
      <c r="G239" s="16"/>
      <c r="H239" s="7" t="s">
        <v>568</v>
      </c>
      <c r="I239" s="7" t="s">
        <v>1555</v>
      </c>
      <c r="J239" s="7" t="s">
        <v>885</v>
      </c>
      <c r="K239" s="7" t="s">
        <v>1007</v>
      </c>
      <c r="L239" s="7" t="s">
        <v>1556</v>
      </c>
      <c r="M239" s="18">
        <v>1.9E8</v>
      </c>
      <c r="N239" s="3">
        <f>STANDARDIZE(M239,Profiling!$C$2, Profiling!$B$2)</f>
        <v>2.868549617</v>
      </c>
      <c r="O239" s="18">
        <v>4.11E8</v>
      </c>
      <c r="P239" s="3">
        <f>STANDARDIZE(O239,Profiling!$C$3, Profiling!$B$3)</f>
        <v>1.413419153</v>
      </c>
      <c r="Q239" s="3"/>
      <c r="R239" s="3"/>
    </row>
    <row r="240">
      <c r="A240" s="11" t="s">
        <v>1557</v>
      </c>
      <c r="B240" s="20">
        <v>41390.0</v>
      </c>
      <c r="C240" s="13" t="s">
        <v>1558</v>
      </c>
      <c r="D240" s="11" t="s">
        <v>15</v>
      </c>
      <c r="E240" s="11" t="s">
        <v>17</v>
      </c>
      <c r="F240" s="15" t="s">
        <v>66</v>
      </c>
      <c r="G240" s="16"/>
      <c r="H240" s="7" t="s">
        <v>76</v>
      </c>
      <c r="I240" s="7" t="s">
        <v>478</v>
      </c>
      <c r="J240" s="7" t="s">
        <v>1324</v>
      </c>
      <c r="K240" s="7" t="s">
        <v>1559</v>
      </c>
      <c r="L240" s="7" t="s">
        <v>192</v>
      </c>
      <c r="M240" s="18">
        <v>2.6E7</v>
      </c>
      <c r="N240" s="3">
        <f>STANDARDIZE(M240,Profiling!$C$2, Profiling!$B$2)</f>
        <v>-0.4648791092</v>
      </c>
      <c r="O240" s="18">
        <v>8.62E7</v>
      </c>
      <c r="P240" s="3">
        <f>STANDARDIZE(O240,Profiling!$C$3, Profiling!$B$3)</f>
        <v>-0.3589699594</v>
      </c>
      <c r="Q240" s="3"/>
      <c r="R240" s="3"/>
    </row>
    <row r="241">
      <c r="A241" s="11" t="s">
        <v>1560</v>
      </c>
      <c r="B241" s="20">
        <v>42277.0</v>
      </c>
      <c r="C241" s="13" t="s">
        <v>1561</v>
      </c>
      <c r="D241" s="11" t="s">
        <v>13</v>
      </c>
      <c r="E241" s="11" t="s">
        <v>10</v>
      </c>
      <c r="F241" s="15" t="s">
        <v>1562</v>
      </c>
      <c r="G241" s="16"/>
      <c r="H241" s="7" t="s">
        <v>493</v>
      </c>
      <c r="I241" s="7" t="s">
        <v>1563</v>
      </c>
      <c r="J241" s="7" t="s">
        <v>205</v>
      </c>
      <c r="K241" s="7" t="s">
        <v>766</v>
      </c>
      <c r="L241" s="7" t="s">
        <v>1564</v>
      </c>
      <c r="M241" s="18">
        <v>1.5E8</v>
      </c>
      <c r="N241" s="3">
        <f>STANDARDIZE(M241,Profiling!$C$2, Profiling!$B$2)</f>
        <v>2.055518221</v>
      </c>
      <c r="O241" s="18">
        <v>1.284E8</v>
      </c>
      <c r="P241" s="3">
        <f>STANDARDIZE(O241,Profiling!$C$3, Profiling!$B$3)</f>
        <v>-0.1286903395</v>
      </c>
      <c r="Q241" s="3"/>
      <c r="R241" s="3"/>
    </row>
    <row r="242">
      <c r="A242" s="11" t="s">
        <v>1565</v>
      </c>
      <c r="B242" s="20">
        <v>42209.0</v>
      </c>
      <c r="C242" s="13" t="s">
        <v>1566</v>
      </c>
      <c r="D242" s="11" t="s">
        <v>22</v>
      </c>
      <c r="E242" s="11" t="s">
        <v>16</v>
      </c>
      <c r="F242" s="15" t="s">
        <v>1567</v>
      </c>
      <c r="G242" s="16"/>
      <c r="H242" s="7" t="s">
        <v>1568</v>
      </c>
      <c r="I242" s="7" t="s">
        <v>1569</v>
      </c>
      <c r="J242" s="17"/>
      <c r="K242" s="17"/>
      <c r="L242" s="17"/>
      <c r="M242" s="18">
        <v>1.2E7</v>
      </c>
      <c r="N242" s="3">
        <f>STANDARDIZE(M242,Profiling!$C$2, Profiling!$B$2)</f>
        <v>-0.749440098</v>
      </c>
      <c r="O242" s="18">
        <v>8.55E7</v>
      </c>
      <c r="P242" s="3">
        <f>STANDARDIZE(O242,Profiling!$C$3, Profiling!$B$3)</f>
        <v>-0.3627897635</v>
      </c>
      <c r="Q242" s="3"/>
      <c r="R242" s="3"/>
    </row>
    <row r="243">
      <c r="A243" s="11" t="s">
        <v>1570</v>
      </c>
      <c r="B243" s="20">
        <v>41201.0</v>
      </c>
      <c r="C243" s="13" t="s">
        <v>1571</v>
      </c>
      <c r="D243" s="11" t="s">
        <v>19</v>
      </c>
      <c r="E243" s="17"/>
      <c r="F243" s="15" t="s">
        <v>1458</v>
      </c>
      <c r="G243" s="15" t="s">
        <v>1457</v>
      </c>
      <c r="H243" s="7" t="s">
        <v>1572</v>
      </c>
      <c r="I243" s="7" t="s">
        <v>1573</v>
      </c>
      <c r="J243" s="17"/>
      <c r="K243" s="17"/>
      <c r="L243" s="17"/>
      <c r="M243" s="18">
        <v>5000000.0</v>
      </c>
      <c r="N243" s="3">
        <f>STANDARDIZE(M243,Profiling!$C$2, Profiling!$B$2)</f>
        <v>-0.8917205925</v>
      </c>
      <c r="O243" s="18">
        <v>1.428E8</v>
      </c>
      <c r="P243" s="3">
        <f>STANDARDIZE(O243,Profiling!$C$3, Profiling!$B$3)</f>
        <v>-0.05011151185</v>
      </c>
      <c r="Q243" s="3"/>
      <c r="R243" s="3"/>
    </row>
    <row r="244">
      <c r="A244" s="11" t="s">
        <v>1574</v>
      </c>
      <c r="B244" s="20">
        <v>42300.0</v>
      </c>
      <c r="C244" s="13" t="s">
        <v>1575</v>
      </c>
      <c r="D244" s="11" t="s">
        <v>18</v>
      </c>
      <c r="E244" s="17"/>
      <c r="F244" s="15" t="s">
        <v>1576</v>
      </c>
      <c r="G244" s="16"/>
      <c r="H244" s="7" t="s">
        <v>1573</v>
      </c>
      <c r="I244" s="7" t="s">
        <v>1577</v>
      </c>
      <c r="J244" s="17"/>
      <c r="K244" s="17"/>
      <c r="L244" s="17"/>
      <c r="M244" s="18">
        <v>1.0E7</v>
      </c>
      <c r="N244" s="3">
        <f>STANDARDIZE(M244,Profiling!$C$2, Profiling!$B$2)</f>
        <v>-0.7900916679</v>
      </c>
      <c r="O244" s="18">
        <v>7.81E7</v>
      </c>
      <c r="P244" s="3">
        <f>STANDARDIZE(O244,Profiling!$C$3, Profiling!$B$3)</f>
        <v>-0.40317055</v>
      </c>
      <c r="Q244" s="3"/>
      <c r="R244" s="3"/>
    </row>
    <row r="245">
      <c r="A245" s="11" t="s">
        <v>1578</v>
      </c>
      <c r="B245" s="20">
        <v>41138.0</v>
      </c>
      <c r="C245" s="13" t="s">
        <v>1579</v>
      </c>
      <c r="D245" s="11" t="s">
        <v>13</v>
      </c>
      <c r="E245" s="17"/>
      <c r="F245" s="15" t="s">
        <v>1580</v>
      </c>
      <c r="G245" s="16"/>
      <c r="H245" s="7" t="s">
        <v>598</v>
      </c>
      <c r="I245" s="7" t="s">
        <v>1581</v>
      </c>
      <c r="J245" s="7" t="s">
        <v>745</v>
      </c>
      <c r="K245" s="7" t="s">
        <v>204</v>
      </c>
      <c r="L245" s="7" t="s">
        <v>1451</v>
      </c>
      <c r="M245" s="18">
        <v>6.0E7</v>
      </c>
      <c r="N245" s="3">
        <f>STANDARDIZE(M245,Profiling!$C$2, Profiling!$B$2)</f>
        <v>0.2261975781</v>
      </c>
      <c r="O245" s="18">
        <v>1.071E8</v>
      </c>
      <c r="P245" s="3">
        <f>STANDARDIZE(O245,Profiling!$C$3, Profiling!$B$3)</f>
        <v>-0.2449215221</v>
      </c>
      <c r="Q245" s="3"/>
      <c r="R245" s="3"/>
    </row>
    <row r="246">
      <c r="A246" s="11" t="s">
        <v>1582</v>
      </c>
      <c r="B246" s="20">
        <v>41268.0</v>
      </c>
      <c r="C246" s="13" t="s">
        <v>1583</v>
      </c>
      <c r="D246" s="11" t="s">
        <v>17</v>
      </c>
      <c r="E246" s="17"/>
      <c r="F246" s="15" t="s">
        <v>1584</v>
      </c>
      <c r="G246" s="16"/>
      <c r="H246" s="7" t="s">
        <v>1585</v>
      </c>
      <c r="I246" s="7" t="s">
        <v>1586</v>
      </c>
      <c r="J246" s="7" t="s">
        <v>1587</v>
      </c>
      <c r="K246" s="7" t="s">
        <v>1588</v>
      </c>
      <c r="L246" s="7" t="s">
        <v>1589</v>
      </c>
      <c r="M246" s="18">
        <v>2.5E7</v>
      </c>
      <c r="N246" s="3">
        <f>STANDARDIZE(M246,Profiling!$C$2, Profiling!$B$2)</f>
        <v>-0.4852048941</v>
      </c>
      <c r="O246" s="18">
        <v>1.198E8</v>
      </c>
      <c r="P246" s="3">
        <f>STANDARDIZE(O246,Profiling!$C$3, Profiling!$B$3)</f>
        <v>-0.1756193616</v>
      </c>
      <c r="Q246" s="3"/>
      <c r="R246" s="3"/>
    </row>
    <row r="247">
      <c r="A247" s="11" t="s">
        <v>1590</v>
      </c>
      <c r="B247" s="20">
        <v>41299.0</v>
      </c>
      <c r="C247" s="13" t="s">
        <v>1591</v>
      </c>
      <c r="D247" s="11" t="s">
        <v>25</v>
      </c>
      <c r="E247" s="11" t="s">
        <v>15</v>
      </c>
      <c r="F247" s="15" t="s">
        <v>1592</v>
      </c>
      <c r="G247" s="16"/>
      <c r="H247" s="7" t="s">
        <v>1357</v>
      </c>
      <c r="I247" s="7" t="s">
        <v>997</v>
      </c>
      <c r="J247" s="7" t="s">
        <v>276</v>
      </c>
      <c r="K247" s="7" t="s">
        <v>1593</v>
      </c>
      <c r="L247" s="7" t="s">
        <v>670</v>
      </c>
      <c r="M247" s="18">
        <v>3.5E7</v>
      </c>
      <c r="N247" s="3">
        <f>STANDARDIZE(M247,Profiling!$C$2, Profiling!$B$2)</f>
        <v>-0.2819470449</v>
      </c>
      <c r="O247" s="18">
        <v>4.85E7</v>
      </c>
      <c r="P247" s="3">
        <f>STANDARDIZE(O247,Profiling!$C$3, Profiling!$B$3)</f>
        <v>-0.5646936957</v>
      </c>
      <c r="Q247" s="3"/>
      <c r="R247" s="3"/>
    </row>
    <row r="248">
      <c r="A248" s="11" t="s">
        <v>1594</v>
      </c>
      <c r="B248" s="20">
        <v>42111.0</v>
      </c>
      <c r="C248" s="13" t="s">
        <v>1595</v>
      </c>
      <c r="D248" s="11" t="s">
        <v>15</v>
      </c>
      <c r="E248" s="11" t="s">
        <v>17</v>
      </c>
      <c r="F248" s="15" t="s">
        <v>1584</v>
      </c>
      <c r="G248" s="16"/>
      <c r="H248" s="7" t="s">
        <v>943</v>
      </c>
      <c r="I248" s="7" t="s">
        <v>1596</v>
      </c>
      <c r="J248" s="7" t="s">
        <v>1597</v>
      </c>
      <c r="K248" s="7" t="s">
        <v>1598</v>
      </c>
      <c r="L248" s="7" t="s">
        <v>1599</v>
      </c>
      <c r="M248" s="18">
        <v>4.0E7</v>
      </c>
      <c r="N248" s="3">
        <f>STANDARDIZE(M248,Profiling!$C$2, Profiling!$B$2)</f>
        <v>-0.1803181203</v>
      </c>
      <c r="O248" s="18">
        <v>1.076E8</v>
      </c>
      <c r="P248" s="3">
        <f>STANDARDIZE(O248,Profiling!$C$3, Profiling!$B$3)</f>
        <v>-0.2421930905</v>
      </c>
      <c r="Q248" s="3"/>
      <c r="R248" s="3"/>
    </row>
    <row r="249">
      <c r="A249" s="11" t="s">
        <v>1600</v>
      </c>
      <c r="B249" s="20">
        <v>42258.0</v>
      </c>
      <c r="C249" s="13" t="s">
        <v>1601</v>
      </c>
      <c r="D249" s="11" t="s">
        <v>24</v>
      </c>
      <c r="E249" s="11" t="s">
        <v>20</v>
      </c>
      <c r="F249" s="15" t="s">
        <v>1602</v>
      </c>
      <c r="G249" s="16"/>
      <c r="H249" s="7" t="s">
        <v>1603</v>
      </c>
      <c r="I249" s="7" t="s">
        <v>1604</v>
      </c>
      <c r="J249" s="7" t="s">
        <v>1605</v>
      </c>
      <c r="K249" s="7" t="s">
        <v>1606</v>
      </c>
      <c r="L249" s="7" t="s">
        <v>1607</v>
      </c>
      <c r="M249" s="18">
        <v>1.9E7</v>
      </c>
      <c r="N249" s="3">
        <f>STANDARDIZE(M249,Profiling!$C$2, Profiling!$B$2)</f>
        <v>-0.6071596036</v>
      </c>
      <c r="O249" s="18">
        <v>5400000.0</v>
      </c>
      <c r="P249" s="3">
        <f>STANDARDIZE(O249,Profiling!$C$3, Profiling!$B$3)</f>
        <v>-0.7998844923</v>
      </c>
      <c r="Q249" s="3"/>
      <c r="R249" s="3"/>
    </row>
    <row r="250">
      <c r="A250" s="11" t="s">
        <v>1608</v>
      </c>
      <c r="B250" s="20">
        <v>41957.0</v>
      </c>
      <c r="C250" s="13" t="s">
        <v>1609</v>
      </c>
      <c r="D250" s="11" t="s">
        <v>11</v>
      </c>
      <c r="E250" s="17"/>
      <c r="F250" s="15" t="s">
        <v>1610</v>
      </c>
      <c r="G250" s="16"/>
      <c r="H250" s="7" t="s">
        <v>1611</v>
      </c>
      <c r="I250" s="7" t="s">
        <v>85</v>
      </c>
      <c r="J250" s="7" t="s">
        <v>1612</v>
      </c>
      <c r="K250" s="7" t="s">
        <v>1613</v>
      </c>
      <c r="L250" s="7" t="s">
        <v>384</v>
      </c>
      <c r="M250" s="18">
        <v>1.32E8</v>
      </c>
      <c r="N250" s="3">
        <f>STANDARDIZE(M250,Profiling!$C$2, Profiling!$B$2)</f>
        <v>1.689654092</v>
      </c>
      <c r="O250" s="18">
        <v>3.73E8</v>
      </c>
      <c r="P250" s="3">
        <f>STANDARDIZE(O250,Profiling!$C$3, Profiling!$B$3)</f>
        <v>1.206058358</v>
      </c>
      <c r="Q250" s="3"/>
      <c r="R250" s="3"/>
    </row>
    <row r="251">
      <c r="A251" s="11" t="s">
        <v>1614</v>
      </c>
      <c r="B251" s="20">
        <v>41089.0</v>
      </c>
      <c r="C251" s="13" t="s">
        <v>1615</v>
      </c>
      <c r="D251" s="11" t="s">
        <v>20</v>
      </c>
      <c r="E251" s="17"/>
      <c r="F251" s="15" t="s">
        <v>1616</v>
      </c>
      <c r="G251" s="16"/>
      <c r="H251" s="7" t="s">
        <v>1121</v>
      </c>
      <c r="I251" s="7" t="s">
        <v>1325</v>
      </c>
      <c r="J251" s="7" t="s">
        <v>585</v>
      </c>
      <c r="K251" s="7" t="s">
        <v>1291</v>
      </c>
      <c r="L251" s="7" t="s">
        <v>1617</v>
      </c>
      <c r="M251" s="18">
        <v>1.6E7</v>
      </c>
      <c r="N251" s="3">
        <f>STANDARDIZE(M251,Profiling!$C$2, Profiling!$B$2)</f>
        <v>-0.6681369584</v>
      </c>
      <c r="O251" s="18">
        <v>1.24E7</v>
      </c>
      <c r="P251" s="3">
        <f>STANDARDIZE(O251,Profiling!$C$3, Profiling!$B$3)</f>
        <v>-0.7616864511</v>
      </c>
      <c r="Q251" s="3"/>
      <c r="R251" s="3"/>
    </row>
    <row r="252">
      <c r="A252" s="11" t="s">
        <v>1618</v>
      </c>
      <c r="B252" s="20">
        <v>41493.0</v>
      </c>
      <c r="C252" s="13" t="s">
        <v>1619</v>
      </c>
      <c r="D252" s="11" t="s">
        <v>10</v>
      </c>
      <c r="E252" s="11" t="s">
        <v>13</v>
      </c>
      <c r="F252" s="15" t="s">
        <v>1620</v>
      </c>
      <c r="G252" s="16"/>
      <c r="H252" s="7" t="s">
        <v>846</v>
      </c>
      <c r="I252" s="7" t="s">
        <v>1621</v>
      </c>
      <c r="J252" s="7" t="s">
        <v>1543</v>
      </c>
      <c r="K252" s="7" t="s">
        <v>1622</v>
      </c>
      <c r="L252" s="7" t="s">
        <v>1623</v>
      </c>
      <c r="M252" s="18">
        <v>9.0E7</v>
      </c>
      <c r="N252" s="3">
        <f>STANDARDIZE(M252,Profiling!$C$2, Profiling!$B$2)</f>
        <v>0.8359711256</v>
      </c>
      <c r="O252" s="18">
        <v>2.022E8</v>
      </c>
      <c r="P252" s="3">
        <f>STANDARDIZE(O252,Profiling!$C$3, Profiling!$B$3)</f>
        <v>0.2740261522</v>
      </c>
      <c r="Q252" s="3"/>
      <c r="R252" s="3"/>
    </row>
    <row r="253">
      <c r="A253" s="11" t="s">
        <v>1624</v>
      </c>
      <c r="B253" s="20">
        <v>41187.0</v>
      </c>
      <c r="C253" s="13" t="s">
        <v>1625</v>
      </c>
      <c r="D253" s="11" t="s">
        <v>17</v>
      </c>
      <c r="E253" s="11" t="s">
        <v>21</v>
      </c>
      <c r="F253" s="15" t="s">
        <v>1626</v>
      </c>
      <c r="G253" s="16"/>
      <c r="H253" s="7" t="s">
        <v>745</v>
      </c>
      <c r="I253" s="7" t="s">
        <v>1627</v>
      </c>
      <c r="J253" s="7" t="s">
        <v>1628</v>
      </c>
      <c r="K253" s="7" t="s">
        <v>1629</v>
      </c>
      <c r="L253" s="7" t="s">
        <v>1630</v>
      </c>
      <c r="M253" s="18">
        <v>1.7E7</v>
      </c>
      <c r="N253" s="3">
        <f>STANDARDIZE(M253,Profiling!$C$2, Profiling!$B$2)</f>
        <v>-0.6478111734</v>
      </c>
      <c r="O253" s="18">
        <v>1.154E8</v>
      </c>
      <c r="P253" s="3">
        <f>STANDARDIZE(O253,Profiling!$C$3, Profiling!$B$3)</f>
        <v>-0.1996295589</v>
      </c>
      <c r="Q253" s="3"/>
      <c r="R253" s="3"/>
    </row>
    <row r="254">
      <c r="A254" s="11" t="s">
        <v>1631</v>
      </c>
      <c r="B254" s="20">
        <v>42114.0</v>
      </c>
      <c r="C254" s="13" t="s">
        <v>1632</v>
      </c>
      <c r="D254" s="11" t="s">
        <v>17</v>
      </c>
      <c r="E254" s="17"/>
      <c r="F254" s="15" t="s">
        <v>1325</v>
      </c>
      <c r="G254" s="16"/>
      <c r="H254" s="7" t="s">
        <v>745</v>
      </c>
      <c r="I254" s="7" t="s">
        <v>1628</v>
      </c>
      <c r="J254" s="7" t="s">
        <v>1633</v>
      </c>
      <c r="K254" s="7" t="s">
        <v>1634</v>
      </c>
      <c r="L254" s="7" t="s">
        <v>1635</v>
      </c>
      <c r="M254" s="18">
        <v>2.9E7</v>
      </c>
      <c r="N254" s="3">
        <f>STANDARDIZE(M254,Profiling!$C$2, Profiling!$B$2)</f>
        <v>-0.4039017544</v>
      </c>
      <c r="O254" s="18">
        <v>2.871E8</v>
      </c>
      <c r="P254" s="3">
        <f>STANDARDIZE(O254,Profiling!$C$3, Profiling!$B$3)</f>
        <v>0.7373138235</v>
      </c>
      <c r="Q254" s="3"/>
      <c r="R254" s="3"/>
    </row>
    <row r="255">
      <c r="A255" s="11" t="s">
        <v>1636</v>
      </c>
      <c r="B255" s="20">
        <v>42209.0</v>
      </c>
      <c r="C255" s="13" t="s">
        <v>1637</v>
      </c>
      <c r="D255" s="11" t="s">
        <v>17</v>
      </c>
      <c r="E255" s="11" t="s">
        <v>15</v>
      </c>
      <c r="F255" s="15" t="s">
        <v>1638</v>
      </c>
      <c r="G255" s="16"/>
      <c r="H255" s="7" t="s">
        <v>396</v>
      </c>
      <c r="I255" s="7" t="s">
        <v>943</v>
      </c>
      <c r="J255" s="7" t="s">
        <v>1158</v>
      </c>
      <c r="K255" s="7" t="s">
        <v>1639</v>
      </c>
      <c r="L255" s="7" t="s">
        <v>1640</v>
      </c>
      <c r="M255" s="18">
        <v>1.29E8</v>
      </c>
      <c r="N255" s="3">
        <f>STANDARDIZE(M255,Profiling!$C$2, Profiling!$B$2)</f>
        <v>1.628676737</v>
      </c>
      <c r="O255" s="18">
        <v>2.449E8</v>
      </c>
      <c r="P255" s="3">
        <f>STANDARDIZE(O255,Profiling!$C$3, Profiling!$B$3)</f>
        <v>0.5070342036</v>
      </c>
      <c r="Q255" s="3"/>
      <c r="R255" s="3"/>
    </row>
    <row r="256">
      <c r="A256" s="11" t="s">
        <v>1641</v>
      </c>
      <c r="B256" s="20">
        <v>42363.0</v>
      </c>
      <c r="C256" s="13" t="s">
        <v>1642</v>
      </c>
      <c r="D256" s="11" t="s">
        <v>15</v>
      </c>
      <c r="E256" s="11" t="s">
        <v>19</v>
      </c>
      <c r="F256" s="15" t="s">
        <v>1643</v>
      </c>
      <c r="G256" s="16"/>
      <c r="H256" s="7" t="s">
        <v>1644</v>
      </c>
      <c r="I256" s="7" t="s">
        <v>1645</v>
      </c>
      <c r="J256" s="7" t="s">
        <v>1498</v>
      </c>
      <c r="K256" s="7" t="s">
        <v>1251</v>
      </c>
      <c r="L256" s="17"/>
      <c r="M256" s="18">
        <v>1.05E8</v>
      </c>
      <c r="N256" s="3">
        <f>STANDARDIZE(M256,Profiling!$C$2, Profiling!$B$2)</f>
        <v>1.140857899</v>
      </c>
      <c r="O256" s="18">
        <v>1.3369999999999999E8</v>
      </c>
      <c r="P256" s="3">
        <f>STANDARDIZE(O256,Profiling!$C$3, Profiling!$B$3)</f>
        <v>-0.09976896543</v>
      </c>
      <c r="Q256" s="3"/>
      <c r="R256" s="3"/>
    </row>
    <row r="257">
      <c r="A257" s="11" t="s">
        <v>1646</v>
      </c>
      <c r="B257" s="20">
        <v>42264.0</v>
      </c>
      <c r="C257" s="13" t="s">
        <v>1647</v>
      </c>
      <c r="D257" s="11" t="s">
        <v>15</v>
      </c>
      <c r="E257" s="17"/>
      <c r="F257" s="15" t="s">
        <v>1648</v>
      </c>
      <c r="G257" s="16"/>
      <c r="H257" s="7" t="s">
        <v>1649</v>
      </c>
      <c r="I257" s="7" t="s">
        <v>1650</v>
      </c>
      <c r="J257" s="7" t="s">
        <v>1651</v>
      </c>
      <c r="K257" s="7" t="s">
        <v>1652</v>
      </c>
      <c r="L257" s="7" t="s">
        <v>1653</v>
      </c>
      <c r="M257" s="18">
        <v>2400000.0</v>
      </c>
      <c r="N257" s="3">
        <f>STANDARDIZE(M257,Profiling!$C$2, Profiling!$B$2)</f>
        <v>-0.9445676333</v>
      </c>
      <c r="O257" s="18">
        <v>1.73E7</v>
      </c>
      <c r="P257" s="3">
        <f>STANDARDIZE(O257,Profiling!$C$3, Profiling!$B$3)</f>
        <v>-0.7349478222</v>
      </c>
      <c r="Q257" s="3"/>
      <c r="R257" s="3"/>
    </row>
    <row r="258">
      <c r="A258" s="11" t="s">
        <v>1654</v>
      </c>
      <c r="B258" s="20">
        <v>42146.0</v>
      </c>
      <c r="C258" s="13" t="s">
        <v>1655</v>
      </c>
      <c r="D258" s="11" t="s">
        <v>18</v>
      </c>
      <c r="E258" s="17"/>
      <c r="F258" s="15" t="s">
        <v>1656</v>
      </c>
      <c r="G258" s="16"/>
      <c r="H258" s="7" t="s">
        <v>1657</v>
      </c>
      <c r="I258" s="7" t="s">
        <v>1658</v>
      </c>
      <c r="J258" s="7" t="s">
        <v>1188</v>
      </c>
      <c r="K258" s="7" t="s">
        <v>1659</v>
      </c>
      <c r="L258" s="7" t="s">
        <v>1660</v>
      </c>
      <c r="M258" s="18">
        <v>3.5E7</v>
      </c>
      <c r="N258" s="3">
        <f>STANDARDIZE(M258,Profiling!$C$2, Profiling!$B$2)</f>
        <v>-0.2819470449</v>
      </c>
      <c r="O258" s="18">
        <v>9.54E7</v>
      </c>
      <c r="P258" s="3">
        <f>STANDARDIZE(O258,Profiling!$C$3, Profiling!$B$3)</f>
        <v>-0.3087668195</v>
      </c>
      <c r="Q258" s="3"/>
      <c r="R258" s="3"/>
    </row>
    <row r="259">
      <c r="A259" s="11" t="s">
        <v>1661</v>
      </c>
      <c r="B259" s="20">
        <v>41688.0</v>
      </c>
      <c r="C259" s="13" t="s">
        <v>1662</v>
      </c>
      <c r="D259" s="11" t="s">
        <v>15</v>
      </c>
      <c r="E259" s="11" t="s">
        <v>10</v>
      </c>
      <c r="F259" s="15" t="s">
        <v>1663</v>
      </c>
      <c r="G259" s="16"/>
      <c r="H259" s="7" t="s">
        <v>1664</v>
      </c>
      <c r="I259" s="7" t="s">
        <v>1665</v>
      </c>
      <c r="J259" s="7" t="s">
        <v>1658</v>
      </c>
      <c r="K259" s="7" t="s">
        <v>1666</v>
      </c>
      <c r="L259" s="7" t="s">
        <v>1667</v>
      </c>
      <c r="M259" s="18">
        <v>8.0E7</v>
      </c>
      <c r="N259" s="3">
        <f>STANDARDIZE(M259,Profiling!$C$2, Profiling!$B$2)</f>
        <v>0.6327132764</v>
      </c>
      <c r="O259" s="18">
        <v>1.178E8</v>
      </c>
      <c r="P259" s="3">
        <f>STANDARDIZE(O259,Profiling!$C$3, Profiling!$B$3)</f>
        <v>-0.1865330876</v>
      </c>
      <c r="Q259" s="3"/>
      <c r="R259" s="3"/>
    </row>
    <row r="260">
      <c r="A260" s="11" t="s">
        <v>1668</v>
      </c>
      <c r="B260" s="20">
        <v>42524.0</v>
      </c>
      <c r="C260" s="13" t="s">
        <v>1669</v>
      </c>
      <c r="D260" s="11" t="s">
        <v>17</v>
      </c>
      <c r="E260" s="17"/>
      <c r="F260" s="15" t="s">
        <v>1670</v>
      </c>
      <c r="G260" s="15" t="s">
        <v>1671</v>
      </c>
      <c r="H260" s="7" t="s">
        <v>1670</v>
      </c>
      <c r="I260" s="7" t="s">
        <v>1671</v>
      </c>
      <c r="J260" s="7" t="s">
        <v>1672</v>
      </c>
      <c r="K260" s="17"/>
      <c r="L260" s="17"/>
      <c r="M260" s="18">
        <v>2.0E7</v>
      </c>
      <c r="N260" s="3">
        <f>STANDARDIZE(M260,Profiling!$C$2, Profiling!$B$2)</f>
        <v>-0.5868338187</v>
      </c>
      <c r="O260" s="18">
        <v>9500000.0</v>
      </c>
      <c r="P260" s="3">
        <f>STANDARDIZE(O260,Profiling!$C$3, Profiling!$B$3)</f>
        <v>-0.7775113539</v>
      </c>
      <c r="Q260" s="3"/>
      <c r="R260" s="3"/>
    </row>
    <row r="261">
      <c r="A261" s="11" t="s">
        <v>1673</v>
      </c>
      <c r="B261" s="20">
        <v>41145.0</v>
      </c>
      <c r="C261" s="13" t="s">
        <v>1674</v>
      </c>
      <c r="D261" s="11" t="s">
        <v>15</v>
      </c>
      <c r="E261" s="17"/>
      <c r="F261" s="15" t="s">
        <v>1117</v>
      </c>
      <c r="G261" s="16"/>
      <c r="H261" s="7" t="s">
        <v>1260</v>
      </c>
      <c r="I261" s="7" t="s">
        <v>1319</v>
      </c>
      <c r="J261" s="7" t="s">
        <v>1675</v>
      </c>
      <c r="K261" s="7" t="s">
        <v>1676</v>
      </c>
      <c r="L261" s="7" t="s">
        <v>1677</v>
      </c>
      <c r="M261" s="18">
        <v>3.5E7</v>
      </c>
      <c r="N261" s="3">
        <f>STANDARDIZE(M261,Profiling!$C$2, Profiling!$B$2)</f>
        <v>-0.2819470449</v>
      </c>
      <c r="O261" s="18">
        <v>3.11E7</v>
      </c>
      <c r="P261" s="3">
        <f>STANDARDIZE(O261,Profiling!$C$3, Profiling!$B$3)</f>
        <v>-0.6596431124</v>
      </c>
      <c r="Q261" s="3"/>
      <c r="R261" s="3"/>
    </row>
    <row r="262">
      <c r="A262" s="11" t="s">
        <v>1678</v>
      </c>
      <c r="B262" s="20">
        <v>42405.0</v>
      </c>
      <c r="C262" s="13" t="s">
        <v>1679</v>
      </c>
      <c r="D262" s="11" t="s">
        <v>17</v>
      </c>
      <c r="E262" s="11" t="s">
        <v>18</v>
      </c>
      <c r="F262" s="15" t="s">
        <v>1680</v>
      </c>
      <c r="G262" s="16"/>
      <c r="H262" s="7" t="s">
        <v>1681</v>
      </c>
      <c r="I262" s="7" t="s">
        <v>1682</v>
      </c>
      <c r="J262" s="7" t="s">
        <v>1683</v>
      </c>
      <c r="K262" s="7" t="s">
        <v>100</v>
      </c>
      <c r="L262" s="7" t="s">
        <v>1351</v>
      </c>
      <c r="M262" s="18">
        <v>2.8E7</v>
      </c>
      <c r="N262" s="3">
        <f>STANDARDIZE(M262,Profiling!$C$2, Profiling!$B$2)</f>
        <v>-0.4242275393</v>
      </c>
      <c r="O262" s="18">
        <v>1.6399999999999998E7</v>
      </c>
      <c r="P262" s="3">
        <f>STANDARDIZE(O262,Profiling!$C$3, Profiling!$B$3)</f>
        <v>-0.739858999</v>
      </c>
      <c r="Q262" s="3"/>
      <c r="R262" s="3"/>
    </row>
    <row r="263">
      <c r="A263" s="11" t="s">
        <v>1684</v>
      </c>
      <c r="B263" s="20">
        <v>41537.0</v>
      </c>
      <c r="C263" s="13" t="s">
        <v>1685</v>
      </c>
      <c r="D263" s="11" t="s">
        <v>25</v>
      </c>
      <c r="E263" s="17"/>
      <c r="F263" s="15" t="s">
        <v>1686</v>
      </c>
      <c r="G263" s="16"/>
      <c r="H263" s="7" t="s">
        <v>744</v>
      </c>
      <c r="I263" s="7" t="s">
        <v>493</v>
      </c>
      <c r="J263" s="7" t="s">
        <v>1285</v>
      </c>
      <c r="K263" s="7" t="s">
        <v>1687</v>
      </c>
      <c r="L263" s="7" t="s">
        <v>348</v>
      </c>
      <c r="M263" s="18">
        <v>4.6E7</v>
      </c>
      <c r="N263" s="3">
        <f>STANDARDIZE(M263,Profiling!$C$2, Profiling!$B$2)</f>
        <v>-0.0583634108</v>
      </c>
      <c r="O263" s="18">
        <v>1.221E8</v>
      </c>
      <c r="P263" s="3">
        <f>STANDARDIZE(O263,Profiling!$C$3, Profiling!$B$3)</f>
        <v>-0.1630685766</v>
      </c>
      <c r="Q263" s="3"/>
      <c r="R263" s="3"/>
    </row>
    <row r="264">
      <c r="A264" s="11" t="s">
        <v>1688</v>
      </c>
      <c r="B264" s="20">
        <v>42034.0</v>
      </c>
      <c r="C264" s="13" t="s">
        <v>1689</v>
      </c>
      <c r="D264" s="11" t="s">
        <v>14</v>
      </c>
      <c r="E264" s="11" t="s">
        <v>10</v>
      </c>
      <c r="F264" s="15" t="s">
        <v>1690</v>
      </c>
      <c r="G264" s="16"/>
      <c r="H264" s="7" t="s">
        <v>499</v>
      </c>
      <c r="I264" s="7" t="s">
        <v>1691</v>
      </c>
      <c r="J264" s="17"/>
      <c r="K264" s="17"/>
      <c r="L264" s="17"/>
      <c r="M264" s="18">
        <v>1.2E7</v>
      </c>
      <c r="N264" s="3">
        <f>STANDARDIZE(M264,Profiling!$C$2, Profiling!$B$2)</f>
        <v>-0.749440098</v>
      </c>
      <c r="O264" s="18">
        <v>3.3200000000000004E7</v>
      </c>
      <c r="P264" s="3">
        <f>STANDARDIZE(O264,Profiling!$C$3, Profiling!$B$3)</f>
        <v>-0.6481837001</v>
      </c>
      <c r="Q264" s="3"/>
      <c r="R264" s="3"/>
    </row>
    <row r="265">
      <c r="A265" s="11" t="s">
        <v>1692</v>
      </c>
      <c r="B265" s="20">
        <v>40970.0</v>
      </c>
      <c r="C265" s="13" t="s">
        <v>1693</v>
      </c>
      <c r="D265" s="11" t="s">
        <v>17</v>
      </c>
      <c r="E265" s="17"/>
      <c r="F265" s="15" t="s">
        <v>248</v>
      </c>
      <c r="G265" s="16"/>
      <c r="H265" s="7" t="s">
        <v>795</v>
      </c>
      <c r="I265" s="7" t="s">
        <v>1694</v>
      </c>
      <c r="J265" s="7" t="s">
        <v>1695</v>
      </c>
      <c r="K265" s="7" t="s">
        <v>1696</v>
      </c>
      <c r="L265" s="7" t="s">
        <v>841</v>
      </c>
      <c r="M265" s="18">
        <v>1.2E7</v>
      </c>
      <c r="N265" s="3">
        <f>STANDARDIZE(M265,Profiling!$C$2, Profiling!$B$2)</f>
        <v>-0.749440098</v>
      </c>
      <c r="O265" s="18">
        <v>1.027E8</v>
      </c>
      <c r="P265" s="3">
        <f>STANDARDIZE(O265,Profiling!$C$3, Profiling!$B$3)</f>
        <v>-0.2689317194</v>
      </c>
      <c r="Q265" s="3"/>
      <c r="R265" s="3"/>
    </row>
    <row r="266">
      <c r="A266" s="11" t="s">
        <v>1697</v>
      </c>
      <c r="B266" s="20">
        <v>41068.0</v>
      </c>
      <c r="C266" s="13" t="s">
        <v>1698</v>
      </c>
      <c r="D266" s="11" t="s">
        <v>14</v>
      </c>
      <c r="E266" s="11" t="s">
        <v>18</v>
      </c>
      <c r="F266" s="15" t="s">
        <v>1699</v>
      </c>
      <c r="G266" s="16"/>
      <c r="H266" s="7" t="s">
        <v>521</v>
      </c>
      <c r="I266" s="7" t="s">
        <v>1700</v>
      </c>
      <c r="J266" s="7" t="s">
        <v>1208</v>
      </c>
      <c r="K266" s="7" t="s">
        <v>885</v>
      </c>
      <c r="L266" s="7" t="s">
        <v>1272</v>
      </c>
      <c r="M266" s="18">
        <v>1.3E8</v>
      </c>
      <c r="N266" s="3">
        <f>STANDARDIZE(M266,Profiling!$C$2, Profiling!$B$2)</f>
        <v>1.649002522</v>
      </c>
      <c r="O266" s="18">
        <v>4.034E8</v>
      </c>
      <c r="P266" s="3">
        <f>STANDARDIZE(O266,Profiling!$C$3, Profiling!$B$3)</f>
        <v>1.371946994</v>
      </c>
      <c r="Q266" s="3"/>
      <c r="R266" s="3"/>
    </row>
    <row r="267">
      <c r="A267" s="11" t="s">
        <v>1701</v>
      </c>
      <c r="B267" s="20">
        <v>41271.0</v>
      </c>
      <c r="C267" s="13" t="s">
        <v>1702</v>
      </c>
      <c r="D267" s="11" t="s">
        <v>20</v>
      </c>
      <c r="E267" s="17"/>
      <c r="F267" s="15" t="s">
        <v>1703</v>
      </c>
      <c r="G267" s="16"/>
      <c r="H267" s="7" t="s">
        <v>731</v>
      </c>
      <c r="I267" s="7" t="s">
        <v>68</v>
      </c>
      <c r="J267" s="7" t="s">
        <v>1188</v>
      </c>
      <c r="K267" s="7" t="s">
        <v>1704</v>
      </c>
      <c r="L267" s="17"/>
      <c r="M267" s="18">
        <v>1.5E7</v>
      </c>
      <c r="N267" s="3">
        <f>STANDARDIZE(M267,Profiling!$C$2, Profiling!$B$2)</f>
        <v>-0.6884627433</v>
      </c>
      <c r="O267" s="18">
        <v>8100000.0</v>
      </c>
      <c r="P267" s="3">
        <f>STANDARDIZE(O267,Profiling!$C$3, Profiling!$B$3)</f>
        <v>-0.7851509621</v>
      </c>
      <c r="Q267" s="3"/>
      <c r="R267" s="3"/>
    </row>
    <row r="268">
      <c r="A268" s="11" t="s">
        <v>1705</v>
      </c>
      <c r="B268" s="20">
        <v>41474.0</v>
      </c>
      <c r="C268" s="13" t="s">
        <v>1706</v>
      </c>
      <c r="D268" s="11" t="s">
        <v>15</v>
      </c>
      <c r="E268" s="11" t="s">
        <v>17</v>
      </c>
      <c r="F268" s="15" t="s">
        <v>1707</v>
      </c>
      <c r="G268" s="16"/>
      <c r="H268" s="7" t="s">
        <v>607</v>
      </c>
      <c r="I268" s="7" t="s">
        <v>1708</v>
      </c>
      <c r="J268" s="7" t="s">
        <v>1709</v>
      </c>
      <c r="K268" s="7" t="s">
        <v>1710</v>
      </c>
      <c r="L268" s="7" t="s">
        <v>1711</v>
      </c>
      <c r="M268" s="18">
        <v>1.3E8</v>
      </c>
      <c r="N268" s="3">
        <f>STANDARDIZE(M268,Profiling!$C$2, Profiling!$B$2)</f>
        <v>1.649002522</v>
      </c>
      <c r="O268" s="18">
        <v>7.83E7</v>
      </c>
      <c r="P268" s="3">
        <f>STANDARDIZE(O268,Profiling!$C$3, Profiling!$B$3)</f>
        <v>-0.4020791774</v>
      </c>
      <c r="Q268" s="3"/>
      <c r="R268" s="3"/>
    </row>
    <row r="269">
      <c r="A269" s="11" t="s">
        <v>1712</v>
      </c>
      <c r="B269" s="20">
        <v>42419.0</v>
      </c>
      <c r="C269" s="13" t="s">
        <v>1713</v>
      </c>
      <c r="D269" s="11" t="s">
        <v>20</v>
      </c>
      <c r="E269" s="11" t="s">
        <v>27</v>
      </c>
      <c r="F269" s="15" t="s">
        <v>1714</v>
      </c>
      <c r="G269" s="16"/>
      <c r="H269" s="7" t="s">
        <v>1715</v>
      </c>
      <c r="I269" s="7" t="s">
        <v>767</v>
      </c>
      <c r="J269" s="7" t="s">
        <v>351</v>
      </c>
      <c r="K269" s="7" t="s">
        <v>1716</v>
      </c>
      <c r="L269" s="7" t="s">
        <v>1717</v>
      </c>
      <c r="M269" s="18">
        <v>5000000.0</v>
      </c>
      <c r="N269" s="3">
        <f>STANDARDIZE(M269,Profiling!$C$2, Profiling!$B$2)</f>
        <v>-0.8917205925</v>
      </c>
      <c r="O269" s="18">
        <v>2.35E7</v>
      </c>
      <c r="P269" s="3">
        <f>STANDARDIZE(O269,Profiling!$C$3, Profiling!$B$3)</f>
        <v>-0.7011152715</v>
      </c>
      <c r="Q269" s="3"/>
      <c r="R269" s="3"/>
    </row>
    <row r="270">
      <c r="A270" s="11" t="s">
        <v>1718</v>
      </c>
      <c r="B270" s="20">
        <v>41159.0</v>
      </c>
      <c r="C270" s="13" t="s">
        <v>1719</v>
      </c>
      <c r="D270" s="11" t="s">
        <v>15</v>
      </c>
      <c r="E270" s="11" t="s">
        <v>10</v>
      </c>
      <c r="F270" s="15" t="s">
        <v>421</v>
      </c>
      <c r="G270" s="16"/>
      <c r="H270" s="7" t="s">
        <v>104</v>
      </c>
      <c r="I270" s="7" t="s">
        <v>1720</v>
      </c>
      <c r="J270" s="7" t="s">
        <v>1721</v>
      </c>
      <c r="K270" s="7" t="s">
        <v>1722</v>
      </c>
      <c r="L270" s="7" t="s">
        <v>1723</v>
      </c>
      <c r="M270" s="18">
        <v>1.8E7</v>
      </c>
      <c r="N270" s="3">
        <f>STANDARDIZE(M270,Profiling!$C$2, Profiling!$B$2)</f>
        <v>-0.6274853885</v>
      </c>
      <c r="O270" s="18">
        <v>3.899E8</v>
      </c>
      <c r="P270" s="3">
        <f>STANDARDIZE(O270,Profiling!$C$3, Profiling!$B$3)</f>
        <v>1.298279343</v>
      </c>
      <c r="Q270" s="3"/>
      <c r="R270" s="3"/>
    </row>
    <row r="271">
      <c r="A271" s="11" t="s">
        <v>1724</v>
      </c>
      <c r="B271" s="20">
        <v>42139.0</v>
      </c>
      <c r="C271" s="13" t="s">
        <v>1725</v>
      </c>
      <c r="D271" s="11" t="s">
        <v>20</v>
      </c>
      <c r="E271" s="17"/>
      <c r="F271" s="15" t="s">
        <v>1726</v>
      </c>
      <c r="G271" s="16"/>
      <c r="H271" s="7" t="s">
        <v>1727</v>
      </c>
      <c r="I271" s="17"/>
      <c r="J271" s="17"/>
      <c r="K271" s="17"/>
      <c r="L271" s="17"/>
      <c r="M271" s="18">
        <v>1750000.0</v>
      </c>
      <c r="N271" s="3">
        <f>STANDARDIZE(M271,Profiling!$C$2, Profiling!$B$2)</f>
        <v>-0.9577793935</v>
      </c>
      <c r="O271" s="18">
        <v>1740000.0</v>
      </c>
      <c r="P271" s="3">
        <f>STANDARDIZE(O271,Profiling!$C$3, Profiling!$B$3)</f>
        <v>-0.819856611</v>
      </c>
      <c r="Q271" s="3"/>
      <c r="R271" s="3"/>
    </row>
    <row r="272">
      <c r="A272" s="11" t="s">
        <v>1728</v>
      </c>
      <c r="B272" s="20">
        <v>42489.0</v>
      </c>
      <c r="C272" s="13" t="s">
        <v>1729</v>
      </c>
      <c r="D272" s="11" t="s">
        <v>14</v>
      </c>
      <c r="E272" s="11" t="s">
        <v>15</v>
      </c>
      <c r="F272" s="15" t="s">
        <v>1730</v>
      </c>
      <c r="G272" s="15" t="s">
        <v>1731</v>
      </c>
      <c r="H272" s="7" t="s">
        <v>1732</v>
      </c>
      <c r="I272" s="7" t="s">
        <v>61</v>
      </c>
      <c r="J272" s="7" t="s">
        <v>231</v>
      </c>
      <c r="K272" s="7" t="s">
        <v>484</v>
      </c>
      <c r="L272" s="7" t="s">
        <v>1733</v>
      </c>
      <c r="M272" s="18">
        <v>2.0E7</v>
      </c>
      <c r="N272" s="3">
        <f>STANDARDIZE(M272,Profiling!$C$2, Profiling!$B$2)</f>
        <v>-0.5868338187</v>
      </c>
      <c r="O272" s="18">
        <v>1.28E7</v>
      </c>
      <c r="P272" s="3">
        <f>STANDARDIZE(O272,Profiling!$C$3, Profiling!$B$3)</f>
        <v>-0.7595037059</v>
      </c>
      <c r="Q272" s="3"/>
      <c r="R272" s="3"/>
    </row>
    <row r="273">
      <c r="A273" s="11" t="s">
        <v>1734</v>
      </c>
      <c r="B273" s="20">
        <v>41474.0</v>
      </c>
      <c r="C273" s="13" t="s">
        <v>1735</v>
      </c>
      <c r="D273" s="11" t="s">
        <v>15</v>
      </c>
      <c r="E273" s="11" t="s">
        <v>17</v>
      </c>
      <c r="F273" s="15" t="s">
        <v>1736</v>
      </c>
      <c r="G273" s="16"/>
      <c r="H273" s="7" t="s">
        <v>126</v>
      </c>
      <c r="I273" s="7" t="s">
        <v>485</v>
      </c>
      <c r="J273" s="7" t="s">
        <v>790</v>
      </c>
      <c r="K273" s="7" t="s">
        <v>1711</v>
      </c>
      <c r="L273" s="7" t="s">
        <v>1737</v>
      </c>
      <c r="M273" s="18">
        <v>8.4E7</v>
      </c>
      <c r="N273" s="3">
        <f>STANDARDIZE(M273,Profiling!$C$2, Profiling!$B$2)</f>
        <v>0.7140164161</v>
      </c>
      <c r="O273" s="18">
        <v>1.481E8</v>
      </c>
      <c r="P273" s="3">
        <f>STANDARDIZE(O273,Profiling!$C$3, Profiling!$B$3)</f>
        <v>-0.02119013779</v>
      </c>
      <c r="Q273" s="3"/>
      <c r="R273" s="3"/>
    </row>
    <row r="274">
      <c r="A274" s="11" t="s">
        <v>1738</v>
      </c>
      <c r="B274" s="20">
        <v>41234.0</v>
      </c>
      <c r="C274" s="13" t="s">
        <v>1739</v>
      </c>
      <c r="D274" s="11" t="s">
        <v>15</v>
      </c>
      <c r="E274" s="17"/>
      <c r="F274" s="15" t="s">
        <v>1740</v>
      </c>
      <c r="G274" s="16"/>
      <c r="H274" s="7" t="s">
        <v>1741</v>
      </c>
      <c r="I274" s="7" t="s">
        <v>389</v>
      </c>
      <c r="J274" s="7" t="s">
        <v>331</v>
      </c>
      <c r="K274" s="7" t="s">
        <v>1742</v>
      </c>
      <c r="L274" s="7" t="s">
        <v>765</v>
      </c>
      <c r="M274" s="18">
        <v>6.5E7</v>
      </c>
      <c r="N274" s="3">
        <f>STANDARDIZE(M274,Profiling!$C$2, Profiling!$B$2)</f>
        <v>0.3278265027</v>
      </c>
      <c r="O274" s="18">
        <v>4.81E7</v>
      </c>
      <c r="P274" s="3">
        <f>STANDARDIZE(O274,Profiling!$C$3, Profiling!$B$3)</f>
        <v>-0.5668764409</v>
      </c>
      <c r="Q274" s="3"/>
      <c r="R274" s="3"/>
    </row>
    <row r="275">
      <c r="A275" s="11" t="s">
        <v>1743</v>
      </c>
      <c r="B275" s="20">
        <v>40928.0</v>
      </c>
      <c r="C275" s="13" t="s">
        <v>1744</v>
      </c>
      <c r="D275" s="25" t="s">
        <v>20</v>
      </c>
      <c r="E275" s="11"/>
      <c r="F275" s="15" t="s">
        <v>1745</v>
      </c>
      <c r="G275" s="16"/>
      <c r="H275" s="7" t="s">
        <v>1746</v>
      </c>
      <c r="I275" s="7" t="s">
        <v>369</v>
      </c>
      <c r="J275" s="7" t="s">
        <v>156</v>
      </c>
      <c r="K275" s="7" t="s">
        <v>1747</v>
      </c>
      <c r="L275" s="7" t="s">
        <v>603</v>
      </c>
      <c r="M275" s="18">
        <v>5.8E7</v>
      </c>
      <c r="N275" s="3">
        <f>STANDARDIZE(M275,Profiling!$C$2, Profiling!$B$2)</f>
        <v>0.1855460082</v>
      </c>
      <c r="O275" s="18">
        <v>5.04E7</v>
      </c>
      <c r="P275" s="3">
        <f>STANDARDIZE(O275,Profiling!$C$3, Profiling!$B$3)</f>
        <v>-0.5543256559</v>
      </c>
      <c r="Q275" s="3"/>
      <c r="R275" s="3"/>
    </row>
    <row r="276">
      <c r="A276" s="11" t="s">
        <v>1748</v>
      </c>
      <c r="B276" s="20">
        <v>41166.0</v>
      </c>
      <c r="C276" s="13" t="s">
        <v>1749</v>
      </c>
      <c r="D276" s="11" t="s">
        <v>15</v>
      </c>
      <c r="E276" s="11" t="s">
        <v>18</v>
      </c>
      <c r="F276" s="15" t="s">
        <v>1663</v>
      </c>
      <c r="G276" s="16"/>
      <c r="H276" s="7" t="s">
        <v>1750</v>
      </c>
      <c r="I276" s="7" t="s">
        <v>1751</v>
      </c>
      <c r="J276" s="7" t="s">
        <v>1752</v>
      </c>
      <c r="K276" s="7" t="s">
        <v>1753</v>
      </c>
      <c r="L276" s="7" t="s">
        <v>801</v>
      </c>
      <c r="M276" s="18">
        <v>6.5E7</v>
      </c>
      <c r="N276" s="3">
        <f>STANDARDIZE(M276,Profiling!$C$2, Profiling!$B$2)</f>
        <v>0.3278265027</v>
      </c>
      <c r="O276" s="18">
        <v>2.402E8</v>
      </c>
      <c r="P276" s="3">
        <f>STANDARDIZE(O276,Profiling!$C$3, Profiling!$B$3)</f>
        <v>0.4813869474</v>
      </c>
      <c r="Q276" s="3"/>
      <c r="R276" s="3"/>
    </row>
    <row r="277">
      <c r="A277" s="11" t="s">
        <v>1754</v>
      </c>
      <c r="B277" s="20">
        <v>42223.0</v>
      </c>
      <c r="C277" s="13" t="s">
        <v>1755</v>
      </c>
      <c r="D277" s="11" t="s">
        <v>17</v>
      </c>
      <c r="E277" s="11" t="s">
        <v>20</v>
      </c>
      <c r="F277" s="15" t="s">
        <v>1756</v>
      </c>
      <c r="G277" s="16"/>
      <c r="H277" s="7" t="s">
        <v>812</v>
      </c>
      <c r="I277" s="7" t="s">
        <v>1757</v>
      </c>
      <c r="J277" s="7" t="s">
        <v>1758</v>
      </c>
      <c r="K277" s="7" t="s">
        <v>1759</v>
      </c>
      <c r="L277" s="7" t="s">
        <v>460</v>
      </c>
      <c r="M277" s="18">
        <v>1.8E7</v>
      </c>
      <c r="N277" s="3">
        <f>STANDARDIZE(M277,Profiling!$C$2, Profiling!$B$2)</f>
        <v>-0.6274853885</v>
      </c>
      <c r="O277" s="18">
        <v>4.13E7</v>
      </c>
      <c r="P277" s="3">
        <f>STANDARDIZE(O277,Profiling!$C$3, Profiling!$B$3)</f>
        <v>-0.6039831095</v>
      </c>
      <c r="Q277" s="3"/>
      <c r="R277" s="3"/>
    </row>
    <row r="278">
      <c r="A278" s="11" t="s">
        <v>1760</v>
      </c>
      <c r="B278" s="20">
        <v>41523.0</v>
      </c>
      <c r="C278" s="13" t="s">
        <v>1761</v>
      </c>
      <c r="D278" s="11" t="s">
        <v>15</v>
      </c>
      <c r="E278" s="11" t="s">
        <v>14</v>
      </c>
      <c r="F278" s="15" t="s">
        <v>1762</v>
      </c>
      <c r="G278" s="16"/>
      <c r="H278" s="7" t="s">
        <v>800</v>
      </c>
      <c r="I278" s="7" t="s">
        <v>1763</v>
      </c>
      <c r="J278" s="7" t="s">
        <v>1764</v>
      </c>
      <c r="K278" s="7" t="s">
        <v>1765</v>
      </c>
      <c r="L278" s="7" t="s">
        <v>1766</v>
      </c>
      <c r="M278" s="18">
        <v>4.0E7</v>
      </c>
      <c r="N278" s="3">
        <f>STANDARDIZE(M278,Profiling!$C$2, Profiling!$B$2)</f>
        <v>-0.1803181203</v>
      </c>
      <c r="O278" s="18">
        <v>1.003E8</v>
      </c>
      <c r="P278" s="3">
        <f>STANDARDIZE(O278,Profiling!$C$3, Profiling!$B$3)</f>
        <v>-0.2820281907</v>
      </c>
      <c r="Q278" s="3"/>
      <c r="R278" s="3"/>
    </row>
    <row r="279">
      <c r="A279" s="11" t="s">
        <v>1767</v>
      </c>
      <c r="B279" s="20">
        <v>41656.0</v>
      </c>
      <c r="C279" s="13" t="s">
        <v>1768</v>
      </c>
      <c r="D279" s="11" t="s">
        <v>15</v>
      </c>
      <c r="E279" s="11" t="s">
        <v>17</v>
      </c>
      <c r="F279" s="15" t="s">
        <v>1769</v>
      </c>
      <c r="G279" s="16"/>
      <c r="H279" s="7" t="s">
        <v>88</v>
      </c>
      <c r="I279" s="7" t="s">
        <v>479</v>
      </c>
      <c r="J279" s="7" t="s">
        <v>253</v>
      </c>
      <c r="K279" s="7" t="s">
        <v>1770</v>
      </c>
      <c r="L279" s="7" t="s">
        <v>872</v>
      </c>
      <c r="M279" s="18">
        <v>2.5E7</v>
      </c>
      <c r="N279" s="3">
        <f>STANDARDIZE(M279,Profiling!$C$2, Profiling!$B$2)</f>
        <v>-0.4852048941</v>
      </c>
      <c r="O279" s="18">
        <v>1.545E8</v>
      </c>
      <c r="P279" s="3">
        <f>STANDARDIZE(O279,Profiling!$C$3, Profiling!$B$3)</f>
        <v>0.01373378561</v>
      </c>
      <c r="Q279" s="3"/>
      <c r="R279" s="3"/>
    </row>
    <row r="280">
      <c r="A280" s="11" t="s">
        <v>1771</v>
      </c>
      <c r="B280" s="20">
        <v>42384.0</v>
      </c>
      <c r="C280" s="13" t="s">
        <v>1772</v>
      </c>
      <c r="D280" s="11" t="s">
        <v>17</v>
      </c>
      <c r="E280" s="11" t="s">
        <v>15</v>
      </c>
      <c r="F280" s="15" t="s">
        <v>1769</v>
      </c>
      <c r="G280" s="16"/>
      <c r="H280" s="7" t="s">
        <v>88</v>
      </c>
      <c r="I280" s="7" t="s">
        <v>479</v>
      </c>
      <c r="J280" s="7" t="s">
        <v>1773</v>
      </c>
      <c r="K280" s="7" t="s">
        <v>622</v>
      </c>
      <c r="L280" s="7" t="s">
        <v>1559</v>
      </c>
      <c r="M280" s="18">
        <v>4.0E7</v>
      </c>
      <c r="N280" s="3">
        <f>STANDARDIZE(M280,Profiling!$C$2, Profiling!$B$2)</f>
        <v>-0.1803181203</v>
      </c>
      <c r="O280" s="18">
        <v>1.242E8</v>
      </c>
      <c r="P280" s="3">
        <f>STANDARDIZE(O280,Profiling!$C$3, Profiling!$B$3)</f>
        <v>-0.1516091642</v>
      </c>
      <c r="Q280" s="3"/>
      <c r="R280" s="3"/>
    </row>
    <row r="281">
      <c r="A281" s="11" t="s">
        <v>1774</v>
      </c>
      <c r="B281" s="20">
        <v>41718.0</v>
      </c>
      <c r="C281" s="13" t="s">
        <v>1775</v>
      </c>
      <c r="D281" s="11" t="s">
        <v>11</v>
      </c>
      <c r="E281" s="17"/>
      <c r="F281" s="15" t="s">
        <v>1776</v>
      </c>
      <c r="G281" s="16"/>
      <c r="H281" s="7" t="s">
        <v>249</v>
      </c>
      <c r="I281" s="7" t="s">
        <v>1088</v>
      </c>
      <c r="J281" s="7" t="s">
        <v>1777</v>
      </c>
      <c r="K281" s="7" t="s">
        <v>1778</v>
      </c>
      <c r="L281" s="7" t="s">
        <v>1362</v>
      </c>
      <c r="M281" s="18">
        <v>1.03E8</v>
      </c>
      <c r="N281" s="3">
        <f>STANDARDIZE(M281,Profiling!$C$2, Profiling!$B$2)</f>
        <v>1.10020633</v>
      </c>
      <c r="O281" s="18">
        <v>5.001E8</v>
      </c>
      <c r="P281" s="3">
        <f>STANDARDIZE(O281,Profiling!$C$3, Profiling!$B$3)</f>
        <v>1.899625649</v>
      </c>
      <c r="Q281" s="3"/>
      <c r="R281" s="3"/>
    </row>
    <row r="282">
      <c r="A282" s="11" t="s">
        <v>1779</v>
      </c>
      <c r="B282" s="20">
        <v>41234.0</v>
      </c>
      <c r="C282" s="13" t="s">
        <v>1780</v>
      </c>
      <c r="D282" s="11" t="s">
        <v>10</v>
      </c>
      <c r="E282" s="17"/>
      <c r="F282" s="15" t="s">
        <v>1781</v>
      </c>
      <c r="G282" s="16"/>
      <c r="H282" s="7" t="s">
        <v>1121</v>
      </c>
      <c r="I282" s="7" t="s">
        <v>222</v>
      </c>
      <c r="J282" s="7" t="s">
        <v>493</v>
      </c>
      <c r="K282" s="7" t="s">
        <v>1508</v>
      </c>
      <c r="L282" s="7" t="s">
        <v>1782</v>
      </c>
      <c r="M282" s="18">
        <v>1.45E8</v>
      </c>
      <c r="N282" s="3">
        <f>STANDARDIZE(M282,Profiling!$C$2, Profiling!$B$2)</f>
        <v>1.953889296</v>
      </c>
      <c r="O282" s="18">
        <v>3.069E8</v>
      </c>
      <c r="P282" s="3">
        <f>STANDARDIZE(O282,Profiling!$C$3, Profiling!$B$3)</f>
        <v>0.8453597115</v>
      </c>
      <c r="Q282" s="3"/>
      <c r="R282" s="3"/>
    </row>
    <row r="283">
      <c r="A283" s="11" t="s">
        <v>1783</v>
      </c>
      <c r="B283" s="20">
        <v>42419.0</v>
      </c>
      <c r="C283" s="13" t="s">
        <v>1784</v>
      </c>
      <c r="D283" s="25" t="s">
        <v>20</v>
      </c>
      <c r="E283" s="11"/>
      <c r="F283" s="15" t="s">
        <v>1785</v>
      </c>
      <c r="G283" s="16"/>
      <c r="H283" s="7" t="s">
        <v>1786</v>
      </c>
      <c r="I283" s="7" t="s">
        <v>1787</v>
      </c>
      <c r="J283" s="7" t="s">
        <v>171</v>
      </c>
      <c r="K283" s="17"/>
      <c r="L283" s="17"/>
      <c r="M283" s="18">
        <v>2.0E7</v>
      </c>
      <c r="N283" s="3">
        <f>STANDARDIZE(M283,Profiling!$C$2, Profiling!$B$2)</f>
        <v>-0.5868338187</v>
      </c>
      <c r="O283" s="18">
        <v>4.61E7</v>
      </c>
      <c r="P283" s="3">
        <f>STANDARDIZE(O283,Profiling!$C$3, Profiling!$B$3)</f>
        <v>-0.577790167</v>
      </c>
      <c r="Q283" s="3"/>
      <c r="R283" s="3"/>
    </row>
    <row r="284">
      <c r="A284" s="11" t="s">
        <v>1788</v>
      </c>
      <c r="B284" s="20">
        <v>41669.0</v>
      </c>
      <c r="C284" s="13" t="s">
        <v>1789</v>
      </c>
      <c r="D284" s="11" t="s">
        <v>15</v>
      </c>
      <c r="E284" s="11" t="s">
        <v>10</v>
      </c>
      <c r="F284" s="15" t="s">
        <v>1790</v>
      </c>
      <c r="G284" s="16"/>
      <c r="H284" s="7" t="s">
        <v>520</v>
      </c>
      <c r="I284" s="7" t="s">
        <v>519</v>
      </c>
      <c r="J284" s="7" t="s">
        <v>1446</v>
      </c>
      <c r="K284" s="7" t="s">
        <v>661</v>
      </c>
      <c r="L284" s="7" t="s">
        <v>587</v>
      </c>
      <c r="M284" s="18">
        <v>1.0E8</v>
      </c>
      <c r="N284" s="3">
        <f>STANDARDIZE(M284,Profiling!$C$2, Profiling!$B$2)</f>
        <v>1.039228975</v>
      </c>
      <c r="O284" s="18">
        <v>2.427E8</v>
      </c>
      <c r="P284" s="3">
        <f>STANDARDIZE(O284,Profiling!$C$3, Profiling!$B$3)</f>
        <v>0.4950291049</v>
      </c>
      <c r="Q284" s="3"/>
      <c r="R284" s="3"/>
    </row>
    <row r="285">
      <c r="A285" s="11" t="s">
        <v>1791</v>
      </c>
      <c r="B285" s="20">
        <v>41138.0</v>
      </c>
      <c r="C285" s="13" t="s">
        <v>1792</v>
      </c>
      <c r="D285" s="11" t="s">
        <v>17</v>
      </c>
      <c r="E285" s="11" t="s">
        <v>20</v>
      </c>
      <c r="F285" s="15" t="s">
        <v>1567</v>
      </c>
      <c r="G285" s="16"/>
      <c r="H285" s="7" t="s">
        <v>694</v>
      </c>
      <c r="I285" s="7" t="s">
        <v>1139</v>
      </c>
      <c r="J285" s="7" t="s">
        <v>1793</v>
      </c>
      <c r="K285" s="7" t="s">
        <v>1794</v>
      </c>
      <c r="L285" s="7" t="s">
        <v>1605</v>
      </c>
      <c r="M285" s="18">
        <v>2500000.0</v>
      </c>
      <c r="N285" s="3">
        <f>STANDARDIZE(M285,Profiling!$C$2, Profiling!$B$2)</f>
        <v>-0.9425350548</v>
      </c>
      <c r="O285" s="18">
        <v>4900000.0</v>
      </c>
      <c r="P285" s="3">
        <f>STANDARDIZE(O285,Profiling!$C$3, Profiling!$B$3)</f>
        <v>-0.8026129238</v>
      </c>
      <c r="Q285" s="3"/>
      <c r="R285" s="3"/>
    </row>
    <row r="286">
      <c r="A286" s="11" t="s">
        <v>1795</v>
      </c>
      <c r="B286" s="20">
        <v>41075.0</v>
      </c>
      <c r="C286" s="13" t="s">
        <v>1796</v>
      </c>
      <c r="D286" s="11" t="s">
        <v>21</v>
      </c>
      <c r="E286" s="11" t="s">
        <v>20</v>
      </c>
      <c r="F286" s="15" t="s">
        <v>1797</v>
      </c>
      <c r="G286" s="16"/>
      <c r="H286" s="7" t="s">
        <v>1798</v>
      </c>
      <c r="I286" s="7" t="s">
        <v>1799</v>
      </c>
      <c r="J286" s="7" t="s">
        <v>727</v>
      </c>
      <c r="K286" s="7" t="s">
        <v>222</v>
      </c>
      <c r="L286" s="7" t="s">
        <v>1800</v>
      </c>
      <c r="M286" s="18">
        <v>7.5E7</v>
      </c>
      <c r="N286" s="3">
        <f>STANDARDIZE(M286,Profiling!$C$2, Profiling!$B$2)</f>
        <v>0.5310843518</v>
      </c>
      <c r="O286" s="18">
        <v>5.94E7</v>
      </c>
      <c r="P286" s="3">
        <f>STANDARDIZE(O286,Profiling!$C$3, Profiling!$B$3)</f>
        <v>-0.5052138886</v>
      </c>
      <c r="Q286" s="3"/>
      <c r="R286" s="3"/>
    </row>
    <row r="287">
      <c r="A287" s="11" t="s">
        <v>1801</v>
      </c>
      <c r="B287" s="20">
        <v>42299.0</v>
      </c>
      <c r="C287" s="13" t="s">
        <v>1802</v>
      </c>
      <c r="D287" s="11" t="s">
        <v>17</v>
      </c>
      <c r="E287" s="17"/>
      <c r="F287" s="15" t="s">
        <v>1803</v>
      </c>
      <c r="G287" s="16"/>
      <c r="H287" s="7" t="s">
        <v>223</v>
      </c>
      <c r="I287" s="7" t="s">
        <v>126</v>
      </c>
      <c r="J287" s="7" t="s">
        <v>1415</v>
      </c>
      <c r="K287" s="7" t="s">
        <v>1804</v>
      </c>
      <c r="L287" s="7" t="s">
        <v>1805</v>
      </c>
      <c r="M287" s="18">
        <v>1.5E7</v>
      </c>
      <c r="N287" s="3">
        <f>STANDARDIZE(M287,Profiling!$C$2, Profiling!$B$2)</f>
        <v>-0.6884627433</v>
      </c>
      <c r="O287" s="18">
        <v>3400000.0</v>
      </c>
      <c r="P287" s="3">
        <f>STANDARDIZE(O287,Profiling!$C$3, Profiling!$B$3)</f>
        <v>-0.8107982184</v>
      </c>
      <c r="Q287" s="3"/>
      <c r="R287" s="3"/>
    </row>
    <row r="288">
      <c r="A288" s="11" t="s">
        <v>1806</v>
      </c>
      <c r="B288" s="20">
        <v>41481.0</v>
      </c>
      <c r="C288" s="13" t="s">
        <v>1807</v>
      </c>
      <c r="D288" s="11" t="s">
        <v>20</v>
      </c>
      <c r="E288" s="17"/>
      <c r="F288" s="15" t="s">
        <v>1808</v>
      </c>
      <c r="G288" s="16"/>
      <c r="H288" s="7" t="s">
        <v>1633</v>
      </c>
      <c r="I288" s="7" t="s">
        <v>1809</v>
      </c>
      <c r="J288" s="7" t="s">
        <v>1810</v>
      </c>
      <c r="K288" s="7" t="s">
        <v>1811</v>
      </c>
      <c r="L288" s="7" t="s">
        <v>1812</v>
      </c>
      <c r="M288" s="18">
        <v>1.5E7</v>
      </c>
      <c r="N288" s="3">
        <f>STANDARDIZE(M288,Profiling!$C$2, Profiling!$B$2)</f>
        <v>-0.6884627433</v>
      </c>
      <c r="O288" s="18">
        <v>3000000.0</v>
      </c>
      <c r="P288" s="3">
        <f>STANDARDIZE(O288,Profiling!$C$3, Profiling!$B$3)</f>
        <v>-0.8129809636</v>
      </c>
      <c r="Q288" s="3"/>
      <c r="R288" s="3"/>
    </row>
    <row r="289">
      <c r="A289" s="11" t="s">
        <v>1813</v>
      </c>
      <c r="B289" s="20">
        <v>42251.0</v>
      </c>
      <c r="C289" s="13" t="s">
        <v>1814</v>
      </c>
      <c r="D289" s="11" t="s">
        <v>20</v>
      </c>
      <c r="E289" s="11" t="s">
        <v>19</v>
      </c>
      <c r="F289" s="15" t="s">
        <v>1815</v>
      </c>
      <c r="G289" s="16"/>
      <c r="H289" s="7" t="s">
        <v>89</v>
      </c>
      <c r="I289" s="7" t="s">
        <v>1816</v>
      </c>
      <c r="J289" s="7" t="s">
        <v>1817</v>
      </c>
      <c r="K289" s="7" t="s">
        <v>1818</v>
      </c>
      <c r="L289" s="7" t="s">
        <v>1819</v>
      </c>
      <c r="M289" s="18">
        <v>1.3E7</v>
      </c>
      <c r="N289" s="3">
        <f>STANDARDIZE(M289,Profiling!$C$2, Profiling!$B$2)</f>
        <v>-0.7291143131</v>
      </c>
      <c r="O289" s="18">
        <v>3.6E7</v>
      </c>
      <c r="P289" s="3">
        <f>STANDARDIZE(O289,Profiling!$C$3, Profiling!$B$3)</f>
        <v>-0.6329044836</v>
      </c>
      <c r="Q289" s="3"/>
      <c r="R289" s="3"/>
    </row>
    <row r="290">
      <c r="A290" s="11" t="s">
        <v>1820</v>
      </c>
      <c r="B290" s="20">
        <v>42076.0</v>
      </c>
      <c r="C290" s="13" t="s">
        <v>1821</v>
      </c>
      <c r="D290" s="11" t="s">
        <v>15</v>
      </c>
      <c r="E290" s="17"/>
      <c r="F290" s="15" t="s">
        <v>1501</v>
      </c>
      <c r="G290" s="16"/>
      <c r="H290" s="7" t="s">
        <v>177</v>
      </c>
      <c r="I290" s="7" t="s">
        <v>520</v>
      </c>
      <c r="J290" s="7" t="s">
        <v>1324</v>
      </c>
      <c r="K290" s="17"/>
      <c r="L290" s="17"/>
      <c r="M290" s="18">
        <v>6.16E7</v>
      </c>
      <c r="N290" s="3">
        <f>STANDARDIZE(M290,Profiling!$C$2, Profiling!$B$2)</f>
        <v>0.2587188339</v>
      </c>
      <c r="O290" s="18">
        <v>7.17E7</v>
      </c>
      <c r="P290" s="3">
        <f>STANDARDIZE(O290,Profiling!$C$3, Profiling!$B$3)</f>
        <v>-0.4380944734</v>
      </c>
      <c r="Q290" s="3"/>
      <c r="R290" s="3"/>
    </row>
    <row r="291">
      <c r="A291" s="11" t="s">
        <v>1822</v>
      </c>
      <c r="B291" s="20">
        <v>41544.0</v>
      </c>
      <c r="C291" s="13" t="s">
        <v>1823</v>
      </c>
      <c r="D291" s="11" t="s">
        <v>25</v>
      </c>
      <c r="E291" s="17"/>
      <c r="F291" s="15" t="s">
        <v>1824</v>
      </c>
      <c r="G291" s="16"/>
      <c r="H291" s="7" t="s">
        <v>286</v>
      </c>
      <c r="I291" s="7" t="s">
        <v>1825</v>
      </c>
      <c r="J291" s="7" t="s">
        <v>964</v>
      </c>
      <c r="K291" s="7" t="s">
        <v>192</v>
      </c>
      <c r="L291" s="17"/>
      <c r="M291" s="18">
        <v>3.0E7</v>
      </c>
      <c r="N291" s="3">
        <f>STANDARDIZE(M291,Profiling!$C$2, Profiling!$B$2)</f>
        <v>-0.3835759695</v>
      </c>
      <c r="O291" s="18">
        <v>3.0E7</v>
      </c>
      <c r="P291" s="3">
        <f>STANDARDIZE(O291,Profiling!$C$3, Profiling!$B$3)</f>
        <v>-0.6656456618</v>
      </c>
      <c r="Q291" s="3"/>
      <c r="R291" s="3"/>
    </row>
    <row r="292">
      <c r="A292" s="11" t="s">
        <v>1826</v>
      </c>
      <c r="B292" s="20">
        <v>41537.0</v>
      </c>
      <c r="C292" s="13" t="s">
        <v>1827</v>
      </c>
      <c r="D292" s="11" t="s">
        <v>15</v>
      </c>
      <c r="E292" s="17"/>
      <c r="F292" s="15" t="s">
        <v>1063</v>
      </c>
      <c r="G292" s="16"/>
      <c r="H292" s="7" t="s">
        <v>389</v>
      </c>
      <c r="I292" s="7" t="s">
        <v>1828</v>
      </c>
      <c r="J292" s="7" t="s">
        <v>1291</v>
      </c>
      <c r="K292" s="7" t="s">
        <v>1829</v>
      </c>
      <c r="L292" s="17"/>
      <c r="M292" s="18">
        <v>3.8E7</v>
      </c>
      <c r="N292" s="3">
        <f>STANDARDIZE(M292,Profiling!$C$2, Profiling!$B$2)</f>
        <v>-0.2209696902</v>
      </c>
      <c r="O292" s="18">
        <v>9.02E7</v>
      </c>
      <c r="P292" s="3">
        <f>STANDARDIZE(O292,Profiling!$C$3, Profiling!$B$3)</f>
        <v>-0.3371425073</v>
      </c>
      <c r="Q292" s="3"/>
      <c r="R292" s="3"/>
    </row>
    <row r="293">
      <c r="A293" s="11" t="s">
        <v>1830</v>
      </c>
      <c r="B293" s="20">
        <v>41717.0</v>
      </c>
      <c r="C293" s="13" t="s">
        <v>1831</v>
      </c>
      <c r="D293" s="11" t="s">
        <v>15</v>
      </c>
      <c r="E293" s="17"/>
      <c r="F293" s="15" t="s">
        <v>743</v>
      </c>
      <c r="G293" s="16"/>
      <c r="H293" s="7" t="s">
        <v>1832</v>
      </c>
      <c r="I293" s="7" t="s">
        <v>1057</v>
      </c>
      <c r="J293" s="7" t="s">
        <v>1323</v>
      </c>
      <c r="K293" s="7" t="s">
        <v>1833</v>
      </c>
      <c r="L293" s="7" t="s">
        <v>1834</v>
      </c>
      <c r="M293" s="18">
        <v>3.5E7</v>
      </c>
      <c r="N293" s="3">
        <f>STANDARDIZE(M293,Profiling!$C$2, Profiling!$B$2)</f>
        <v>-0.2819470449</v>
      </c>
      <c r="O293" s="18">
        <v>1.75E7</v>
      </c>
      <c r="P293" s="3">
        <f>STANDARDIZE(O293,Profiling!$C$3, Profiling!$B$3)</f>
        <v>-0.7338564496</v>
      </c>
      <c r="Q293" s="3"/>
      <c r="R293" s="3"/>
    </row>
    <row r="294">
      <c r="A294" s="11" t="s">
        <v>1835</v>
      </c>
      <c r="B294" s="20">
        <v>40949.0</v>
      </c>
      <c r="C294" s="13" t="s">
        <v>1836</v>
      </c>
      <c r="D294" s="11" t="s">
        <v>15</v>
      </c>
      <c r="E294" s="17"/>
      <c r="F294" s="15" t="s">
        <v>517</v>
      </c>
      <c r="G294" s="16"/>
      <c r="H294" s="7" t="s">
        <v>77</v>
      </c>
      <c r="I294" s="7" t="s">
        <v>607</v>
      </c>
      <c r="J294" s="7" t="s">
        <v>1367</v>
      </c>
      <c r="K294" s="7" t="s">
        <v>859</v>
      </c>
      <c r="L294" s="7" t="s">
        <v>1837</v>
      </c>
      <c r="M294" s="18">
        <v>8.5E7</v>
      </c>
      <c r="N294" s="3">
        <f>STANDARDIZE(M294,Profiling!$C$2, Profiling!$B$2)</f>
        <v>0.734342201</v>
      </c>
      <c r="O294" s="18">
        <v>2.081E8</v>
      </c>
      <c r="P294" s="3">
        <f>STANDARDIZE(O294,Profiling!$C$3, Profiling!$B$3)</f>
        <v>0.3062216441</v>
      </c>
      <c r="Q294" s="3"/>
      <c r="R294" s="3"/>
    </row>
    <row r="295">
      <c r="A295" s="11" t="s">
        <v>1838</v>
      </c>
      <c r="B295" s="20">
        <v>40977.0</v>
      </c>
      <c r="C295" s="13" t="s">
        <v>1839</v>
      </c>
      <c r="D295" s="11" t="s">
        <v>20</v>
      </c>
      <c r="E295" s="11" t="s">
        <v>22</v>
      </c>
      <c r="F295" s="15" t="s">
        <v>1840</v>
      </c>
      <c r="G295" s="16"/>
      <c r="H295" s="7" t="s">
        <v>1126</v>
      </c>
      <c r="I295" s="7" t="s">
        <v>728</v>
      </c>
      <c r="J295" s="7" t="s">
        <v>1841</v>
      </c>
      <c r="K295" s="7" t="s">
        <v>1842</v>
      </c>
      <c r="L295" s="17"/>
      <c r="M295" s="18">
        <v>1.44E7</v>
      </c>
      <c r="N295" s="3">
        <f>STANDARDIZE(M295,Profiling!$C$2, Profiling!$B$2)</f>
        <v>-0.7006582142</v>
      </c>
      <c r="O295" s="18">
        <v>3.46E7</v>
      </c>
      <c r="P295" s="3">
        <f>STANDARDIZE(O295,Profiling!$C$3, Profiling!$B$3)</f>
        <v>-0.6405440918</v>
      </c>
      <c r="Q295" s="3"/>
      <c r="R295" s="3"/>
    </row>
    <row r="296">
      <c r="A296" s="11" t="s">
        <v>1843</v>
      </c>
      <c r="B296" s="20">
        <v>41096.0</v>
      </c>
      <c r="C296" s="13" t="s">
        <v>1844</v>
      </c>
      <c r="D296" s="11" t="s">
        <v>25</v>
      </c>
      <c r="E296" s="11" t="s">
        <v>20</v>
      </c>
      <c r="F296" s="15" t="s">
        <v>1845</v>
      </c>
      <c r="G296" s="16"/>
      <c r="H296" s="7" t="s">
        <v>338</v>
      </c>
      <c r="I296" s="7" t="s">
        <v>1846</v>
      </c>
      <c r="J296" s="7" t="s">
        <v>1847</v>
      </c>
      <c r="K296" s="7" t="s">
        <v>1848</v>
      </c>
      <c r="L296" s="7" t="s">
        <v>1849</v>
      </c>
      <c r="M296" s="18">
        <v>4.5E7</v>
      </c>
      <c r="N296" s="3">
        <f>STANDARDIZE(M296,Profiling!$C$2, Profiling!$B$2)</f>
        <v>-0.07868919572</v>
      </c>
      <c r="O296" s="18">
        <v>8.3E7</v>
      </c>
      <c r="P296" s="3">
        <f>STANDARDIZE(O296,Profiling!$C$3, Profiling!$B$3)</f>
        <v>-0.3764319211</v>
      </c>
      <c r="Q296" s="3"/>
      <c r="R296" s="3"/>
    </row>
    <row r="297">
      <c r="A297" s="11" t="s">
        <v>1850</v>
      </c>
      <c r="B297" s="20">
        <v>41376.0</v>
      </c>
      <c r="C297" s="13" t="s">
        <v>1851</v>
      </c>
      <c r="D297" s="11" t="s">
        <v>17</v>
      </c>
      <c r="E297" s="11" t="s">
        <v>18</v>
      </c>
      <c r="F297" s="15" t="s">
        <v>309</v>
      </c>
      <c r="G297" s="16"/>
      <c r="H297" s="7" t="s">
        <v>1852</v>
      </c>
      <c r="I297" s="7" t="s">
        <v>1853</v>
      </c>
      <c r="J297" s="7" t="s">
        <v>1854</v>
      </c>
      <c r="K297" s="7" t="s">
        <v>1855</v>
      </c>
      <c r="L297" s="7" t="s">
        <v>399</v>
      </c>
      <c r="M297" s="18">
        <v>2.0E7</v>
      </c>
      <c r="N297" s="3">
        <f>STANDARDIZE(M297,Profiling!$C$2, Profiling!$B$2)</f>
        <v>-0.5868338187</v>
      </c>
      <c r="O297" s="18">
        <v>7.84E7</v>
      </c>
      <c r="P297" s="3">
        <f>STANDARDIZE(O297,Profiling!$C$3, Profiling!$B$3)</f>
        <v>-0.401533491</v>
      </c>
      <c r="Q297" s="3"/>
      <c r="R297" s="3"/>
    </row>
    <row r="298">
      <c r="A298" s="11" t="s">
        <v>1856</v>
      </c>
      <c r="B298" s="20">
        <v>42328.0</v>
      </c>
      <c r="C298" s="13" t="s">
        <v>1857</v>
      </c>
      <c r="D298" s="11" t="s">
        <v>25</v>
      </c>
      <c r="E298" s="11" t="s">
        <v>19</v>
      </c>
      <c r="F298" s="15" t="s">
        <v>1858</v>
      </c>
      <c r="G298" s="16"/>
      <c r="H298" s="7" t="s">
        <v>1376</v>
      </c>
      <c r="I298" s="7" t="s">
        <v>355</v>
      </c>
      <c r="J298" s="7" t="s">
        <v>1859</v>
      </c>
      <c r="K298" s="7" t="s">
        <v>1860</v>
      </c>
      <c r="L298" s="17"/>
      <c r="M298" s="18">
        <v>1.95E7</v>
      </c>
      <c r="N298" s="3">
        <f>STANDARDIZE(M298,Profiling!$C$2, Profiling!$B$2)</f>
        <v>-0.5969967111</v>
      </c>
      <c r="O298" s="18">
        <v>3.2200000000000004E7</v>
      </c>
      <c r="P298" s="3">
        <f>STANDARDIZE(O298,Profiling!$C$3, Profiling!$B$3)</f>
        <v>-0.6536405631</v>
      </c>
      <c r="Q298" s="3"/>
      <c r="R298" s="3"/>
    </row>
    <row r="299">
      <c r="A299" s="11" t="s">
        <v>1861</v>
      </c>
      <c r="B299" s="20">
        <v>42195.0</v>
      </c>
      <c r="C299" s="13" t="s">
        <v>1862</v>
      </c>
      <c r="D299" s="11" t="s">
        <v>20</v>
      </c>
      <c r="E299" s="11" t="s">
        <v>14</v>
      </c>
      <c r="F299" s="15" t="s">
        <v>1374</v>
      </c>
      <c r="G299" s="16"/>
      <c r="H299" s="7" t="s">
        <v>607</v>
      </c>
      <c r="I299" s="7" t="s">
        <v>1863</v>
      </c>
      <c r="J299" s="7" t="s">
        <v>1864</v>
      </c>
      <c r="K299" s="7" t="s">
        <v>289</v>
      </c>
      <c r="L299" s="7" t="s">
        <v>1865</v>
      </c>
      <c r="M299" s="18">
        <v>2.6E7</v>
      </c>
      <c r="N299" s="3">
        <f>STANDARDIZE(M299,Profiling!$C$2, Profiling!$B$2)</f>
        <v>-0.4648791092</v>
      </c>
      <c r="O299" s="18">
        <v>3.05E7</v>
      </c>
      <c r="P299" s="3">
        <f>STANDARDIZE(O299,Profiling!$C$3, Profiling!$B$3)</f>
        <v>-0.6629172302</v>
      </c>
      <c r="Q299" s="3"/>
      <c r="R299" s="3"/>
    </row>
    <row r="300">
      <c r="A300" s="11" t="s">
        <v>1866</v>
      </c>
      <c r="B300" s="20">
        <v>41998.0</v>
      </c>
      <c r="C300" s="13" t="s">
        <v>1867</v>
      </c>
      <c r="D300" s="11" t="s">
        <v>20</v>
      </c>
      <c r="E300" s="11"/>
      <c r="F300" s="15" t="s">
        <v>1868</v>
      </c>
      <c r="G300" s="16"/>
      <c r="H300" s="7" t="s">
        <v>156</v>
      </c>
      <c r="I300" s="7" t="s">
        <v>1869</v>
      </c>
      <c r="J300" s="7" t="s">
        <v>1870</v>
      </c>
      <c r="K300" s="7" t="s">
        <v>1871</v>
      </c>
      <c r="L300" s="17"/>
      <c r="M300" s="18">
        <v>2.0E7</v>
      </c>
      <c r="N300" s="3">
        <f>STANDARDIZE(M300,Profiling!$C$2, Profiling!$B$2)</f>
        <v>-0.5868338187</v>
      </c>
      <c r="O300" s="18">
        <v>6.68E7</v>
      </c>
      <c r="P300" s="3">
        <f>STANDARDIZE(O300,Profiling!$C$3, Profiling!$B$3)</f>
        <v>-0.4648331022</v>
      </c>
      <c r="Q300" s="3"/>
      <c r="R300" s="3"/>
    </row>
    <row r="301">
      <c r="A301" s="11" t="s">
        <v>1872</v>
      </c>
      <c r="B301" s="20">
        <v>41990.0</v>
      </c>
      <c r="C301" s="13" t="s">
        <v>1873</v>
      </c>
      <c r="D301" s="11" t="s">
        <v>13</v>
      </c>
      <c r="E301" s="17"/>
      <c r="F301" s="15" t="s">
        <v>1874</v>
      </c>
      <c r="G301" s="16"/>
      <c r="H301" s="7" t="s">
        <v>1875</v>
      </c>
      <c r="I301" s="7" t="s">
        <v>1708</v>
      </c>
      <c r="J301" s="7" t="s">
        <v>1502</v>
      </c>
      <c r="K301" s="7" t="s">
        <v>786</v>
      </c>
      <c r="L301" s="7" t="s">
        <v>1664</v>
      </c>
      <c r="M301" s="18">
        <v>9.5E7</v>
      </c>
      <c r="N301" s="3">
        <f>STANDARDIZE(M301,Profiling!$C$2, Profiling!$B$2)</f>
        <v>0.9376000502</v>
      </c>
      <c r="O301" s="18">
        <v>1.142E8</v>
      </c>
      <c r="P301" s="3">
        <f>STANDARDIZE(O301,Profiling!$C$3, Profiling!$B$3)</f>
        <v>-0.2061777945</v>
      </c>
      <c r="Q301" s="3"/>
      <c r="R301" s="3"/>
    </row>
    <row r="302">
      <c r="A302" s="11" t="s">
        <v>1876</v>
      </c>
      <c r="B302" s="20">
        <v>42028.0</v>
      </c>
      <c r="C302" s="13" t="s">
        <v>1877</v>
      </c>
      <c r="D302" s="11" t="s">
        <v>10</v>
      </c>
      <c r="E302" s="11" t="s">
        <v>17</v>
      </c>
      <c r="F302" s="15" t="s">
        <v>1878</v>
      </c>
      <c r="G302" s="16"/>
      <c r="H302" s="7" t="s">
        <v>1879</v>
      </c>
      <c r="I302" s="7" t="s">
        <v>1880</v>
      </c>
      <c r="J302" s="17"/>
      <c r="K302" s="17"/>
      <c r="L302" s="17"/>
      <c r="M302" s="18">
        <v>2.5E7</v>
      </c>
      <c r="N302" s="3">
        <f>STANDARDIZE(M302,Profiling!$C$2, Profiling!$B$2)</f>
        <v>-0.4852048941</v>
      </c>
      <c r="O302" s="18">
        <v>1.06E8</v>
      </c>
      <c r="P302" s="3">
        <f>STANDARDIZE(O302,Profiling!$C$3, Profiling!$B$3)</f>
        <v>-0.2509240714</v>
      </c>
      <c r="Q302" s="3"/>
      <c r="R302" s="3"/>
    </row>
    <row r="303">
      <c r="A303" s="11" t="s">
        <v>1881</v>
      </c>
      <c r="B303" s="20">
        <v>42143.0</v>
      </c>
      <c r="C303" s="13" t="s">
        <v>1882</v>
      </c>
      <c r="D303" s="11" t="s">
        <v>25</v>
      </c>
      <c r="E303" s="11" t="s">
        <v>20</v>
      </c>
      <c r="F303" s="15" t="s">
        <v>1686</v>
      </c>
      <c r="G303" s="16"/>
      <c r="H303" s="7" t="s">
        <v>728</v>
      </c>
      <c r="I303" s="7" t="s">
        <v>1849</v>
      </c>
      <c r="J303" s="7" t="s">
        <v>858</v>
      </c>
      <c r="K303" s="7" t="s">
        <v>847</v>
      </c>
      <c r="L303" s="17"/>
      <c r="M303" s="18">
        <v>3.0E7</v>
      </c>
      <c r="N303" s="3">
        <f>STANDARDIZE(M303,Profiling!$C$2, Profiling!$B$2)</f>
        <v>-0.3835759695</v>
      </c>
      <c r="O303" s="18">
        <v>8.49E7</v>
      </c>
      <c r="P303" s="3">
        <f>STANDARDIZE(O303,Profiling!$C$3, Profiling!$B$3)</f>
        <v>-0.3660638813</v>
      </c>
      <c r="Q303" s="3"/>
      <c r="R303" s="3"/>
    </row>
    <row r="304">
      <c r="A304" s="11" t="s">
        <v>1883</v>
      </c>
      <c r="B304" s="20">
        <v>41313.0</v>
      </c>
      <c r="C304" s="13" t="s">
        <v>1884</v>
      </c>
      <c r="D304" s="11" t="s">
        <v>25</v>
      </c>
      <c r="E304" s="17"/>
      <c r="F304" s="15" t="s">
        <v>1885</v>
      </c>
      <c r="G304" s="16"/>
      <c r="H304" s="7" t="s">
        <v>205</v>
      </c>
      <c r="I304" s="7" t="s">
        <v>1782</v>
      </c>
      <c r="J304" s="7" t="s">
        <v>87</v>
      </c>
      <c r="K304" s="7" t="s">
        <v>1737</v>
      </c>
      <c r="L304" s="7" t="s">
        <v>1886</v>
      </c>
      <c r="M304" s="18">
        <v>3.0E7</v>
      </c>
      <c r="N304" s="3">
        <f>STANDARDIZE(M304,Profiling!$C$2, Profiling!$B$2)</f>
        <v>-0.3835759695</v>
      </c>
      <c r="O304" s="18">
        <v>6.67E7</v>
      </c>
      <c r="P304" s="3">
        <f>STANDARDIZE(O304,Profiling!$C$3, Profiling!$B$3)</f>
        <v>-0.4653787885</v>
      </c>
      <c r="Q304" s="3"/>
      <c r="R304" s="3"/>
    </row>
    <row r="305">
      <c r="A305" s="11" t="s">
        <v>1887</v>
      </c>
      <c r="B305" s="20">
        <v>41208.0</v>
      </c>
      <c r="C305" s="13" t="s">
        <v>1888</v>
      </c>
      <c r="D305" s="11" t="s">
        <v>18</v>
      </c>
      <c r="E305" s="17"/>
      <c r="F305" s="15" t="s">
        <v>1889</v>
      </c>
      <c r="G305" s="16"/>
      <c r="H305" s="7" t="s">
        <v>1489</v>
      </c>
      <c r="I305" s="7" t="s">
        <v>1890</v>
      </c>
      <c r="J305" s="7" t="s">
        <v>1891</v>
      </c>
      <c r="K305" s="7" t="s">
        <v>1664</v>
      </c>
      <c r="L305" s="7" t="s">
        <v>1667</v>
      </c>
      <c r="M305" s="18">
        <v>2.0E7</v>
      </c>
      <c r="N305" s="3">
        <f>STANDARDIZE(M305,Profiling!$C$2, Profiling!$B$2)</f>
        <v>-0.5868338187</v>
      </c>
      <c r="O305" s="18">
        <v>5.23E7</v>
      </c>
      <c r="P305" s="3">
        <f>STANDARDIZE(O305,Profiling!$C$3, Profiling!$B$3)</f>
        <v>-0.5439576162</v>
      </c>
      <c r="Q305" s="3"/>
      <c r="R305" s="3"/>
    </row>
    <row r="306">
      <c r="A306" s="11" t="s">
        <v>1892</v>
      </c>
      <c r="B306" s="20">
        <v>41229.0</v>
      </c>
      <c r="C306" s="13" t="s">
        <v>1893</v>
      </c>
      <c r="D306" s="11" t="s">
        <v>20</v>
      </c>
      <c r="E306" s="17"/>
      <c r="F306" s="15" t="s">
        <v>1174</v>
      </c>
      <c r="G306" s="16"/>
      <c r="H306" s="7" t="s">
        <v>220</v>
      </c>
      <c r="I306" s="7" t="s">
        <v>1175</v>
      </c>
      <c r="J306" s="7" t="s">
        <v>1894</v>
      </c>
      <c r="K306" s="7" t="s">
        <v>956</v>
      </c>
      <c r="L306" s="7" t="s">
        <v>1311</v>
      </c>
      <c r="M306" s="18">
        <v>2.1E7</v>
      </c>
      <c r="N306" s="3">
        <f>STANDARDIZE(M306,Profiling!$C$2, Profiling!$B$2)</f>
        <v>-0.5665080338</v>
      </c>
      <c r="O306" s="18">
        <v>2.364E8</v>
      </c>
      <c r="P306" s="3">
        <f>STANDARDIZE(O306,Profiling!$C$3, Profiling!$B$3)</f>
        <v>0.4606508679</v>
      </c>
      <c r="Q306" s="3"/>
      <c r="R306" s="3"/>
    </row>
    <row r="307">
      <c r="A307" s="11" t="s">
        <v>1895</v>
      </c>
      <c r="B307" s="20">
        <v>41870.0</v>
      </c>
      <c r="C307" s="13" t="s">
        <v>1896</v>
      </c>
      <c r="D307" s="11" t="s">
        <v>25</v>
      </c>
      <c r="E307" s="11" t="s">
        <v>19</v>
      </c>
      <c r="F307" s="26" t="s">
        <v>1897</v>
      </c>
      <c r="G307" s="15" t="s">
        <v>1898</v>
      </c>
      <c r="H307" s="7" t="s">
        <v>773</v>
      </c>
      <c r="I307" s="7" t="s">
        <v>1899</v>
      </c>
      <c r="J307" s="7" t="s">
        <v>858</v>
      </c>
      <c r="K307" s="7" t="s">
        <v>484</v>
      </c>
      <c r="L307" s="7" t="s">
        <v>1260</v>
      </c>
      <c r="M307" s="18">
        <v>6.5E7</v>
      </c>
      <c r="N307" s="3">
        <f>STANDARDIZE(M307,Profiling!$C$2, Profiling!$B$2)</f>
        <v>0.3278265027</v>
      </c>
      <c r="O307" s="18">
        <v>3.94E7</v>
      </c>
      <c r="P307" s="3">
        <f>STANDARDIZE(O307,Profiling!$C$3, Profiling!$B$3)</f>
        <v>-0.6143511493</v>
      </c>
      <c r="Q307" s="3"/>
      <c r="R307" s="3"/>
    </row>
    <row r="308">
      <c r="A308" s="11" t="s">
        <v>1900</v>
      </c>
      <c r="B308" s="20">
        <v>41194.0</v>
      </c>
      <c r="C308" s="13" t="s">
        <v>1901</v>
      </c>
      <c r="D308" s="11" t="s">
        <v>18</v>
      </c>
      <c r="E308" s="11" t="s">
        <v>19</v>
      </c>
      <c r="F308" s="15" t="s">
        <v>618</v>
      </c>
      <c r="G308" s="16"/>
      <c r="H308" s="7" t="s">
        <v>410</v>
      </c>
      <c r="I308" s="7" t="s">
        <v>1902</v>
      </c>
      <c r="J308" s="7" t="s">
        <v>1903</v>
      </c>
      <c r="K308" s="7" t="s">
        <v>1904</v>
      </c>
      <c r="L308" s="17"/>
      <c r="M308" s="18">
        <v>3000000.0</v>
      </c>
      <c r="N308" s="3">
        <f>STANDARDIZE(M308,Profiling!$C$2, Profiling!$B$2)</f>
        <v>-0.9323721623</v>
      </c>
      <c r="O308" s="18">
        <v>7.77E7</v>
      </c>
      <c r="P308" s="3">
        <f>STANDARDIZE(O308,Profiling!$C$3, Profiling!$B$3)</f>
        <v>-0.4053532952</v>
      </c>
      <c r="Q308" s="3"/>
      <c r="R308" s="3"/>
    </row>
    <row r="309">
      <c r="A309" s="11" t="s">
        <v>1905</v>
      </c>
      <c r="B309" s="20">
        <v>42237.0</v>
      </c>
      <c r="C309" s="13" t="s">
        <v>1906</v>
      </c>
      <c r="D309" s="11" t="s">
        <v>18</v>
      </c>
      <c r="E309" s="17"/>
      <c r="F309" s="15" t="s">
        <v>1907</v>
      </c>
      <c r="G309" s="16"/>
      <c r="H309" s="7" t="s">
        <v>1908</v>
      </c>
      <c r="I309" s="7" t="s">
        <v>1909</v>
      </c>
      <c r="J309" s="17"/>
      <c r="K309" s="17"/>
      <c r="L309" s="17"/>
      <c r="M309" s="18">
        <v>1.0E7</v>
      </c>
      <c r="N309" s="3">
        <f>STANDARDIZE(M309,Profiling!$C$2, Profiling!$B$2)</f>
        <v>-0.7900916679</v>
      </c>
      <c r="O309" s="18">
        <v>5.29E7</v>
      </c>
      <c r="P309" s="3">
        <f>STANDARDIZE(O309,Profiling!$C$3, Profiling!$B$3)</f>
        <v>-0.5406834983</v>
      </c>
      <c r="Q309" s="3"/>
      <c r="R309" s="3"/>
    </row>
    <row r="310">
      <c r="A310" s="11" t="s">
        <v>1910</v>
      </c>
      <c r="B310" s="20">
        <v>42356.0</v>
      </c>
      <c r="C310" s="13" t="s">
        <v>1911</v>
      </c>
      <c r="D310" s="11" t="s">
        <v>17</v>
      </c>
      <c r="E310" s="17"/>
      <c r="F310" s="15" t="s">
        <v>1626</v>
      </c>
      <c r="G310" s="16"/>
      <c r="H310" s="7" t="s">
        <v>1912</v>
      </c>
      <c r="I310" s="7" t="s">
        <v>1913</v>
      </c>
      <c r="J310" s="7" t="s">
        <v>1914</v>
      </c>
      <c r="K310" s="7" t="s">
        <v>835</v>
      </c>
      <c r="L310" s="17"/>
      <c r="M310" s="18">
        <v>3.0E7</v>
      </c>
      <c r="N310" s="3">
        <f>STANDARDIZE(M310,Profiling!$C$2, Profiling!$B$2)</f>
        <v>-0.3835759695</v>
      </c>
      <c r="O310" s="18">
        <v>1.05E8</v>
      </c>
      <c r="P310" s="3">
        <f>STANDARDIZE(O310,Profiling!$C$3, Profiling!$B$3)</f>
        <v>-0.2563809344</v>
      </c>
      <c r="Q310" s="3"/>
      <c r="R310" s="3"/>
    </row>
    <row r="311">
      <c r="A311" s="11" t="s">
        <v>1915</v>
      </c>
      <c r="B311" s="20">
        <v>41327.0</v>
      </c>
      <c r="C311" s="13" t="s">
        <v>1916</v>
      </c>
      <c r="D311" s="11" t="s">
        <v>15</v>
      </c>
      <c r="E311" s="17"/>
      <c r="F311" s="15" t="s">
        <v>1917</v>
      </c>
      <c r="G311" s="16"/>
      <c r="H311" s="7" t="s">
        <v>478</v>
      </c>
      <c r="I311" s="7" t="s">
        <v>1139</v>
      </c>
      <c r="J311" s="7" t="s">
        <v>1773</v>
      </c>
      <c r="K311" s="7" t="s">
        <v>1187</v>
      </c>
      <c r="L311" s="17"/>
      <c r="M311" s="18">
        <v>1.5E7</v>
      </c>
      <c r="N311" s="3">
        <f>STANDARDIZE(M311,Profiling!$C$2, Profiling!$B$2)</f>
        <v>-0.6884627433</v>
      </c>
      <c r="O311" s="18">
        <v>5.78E7</v>
      </c>
      <c r="P311" s="3">
        <f>STANDARDIZE(O311,Profiling!$C$3, Profiling!$B$3)</f>
        <v>-0.5139448695</v>
      </c>
      <c r="Q311" s="3"/>
      <c r="R311" s="3"/>
    </row>
    <row r="312">
      <c r="A312" s="11" t="s">
        <v>1918</v>
      </c>
      <c r="B312" s="20">
        <v>41061.0</v>
      </c>
      <c r="C312" s="13" t="s">
        <v>1919</v>
      </c>
      <c r="D312" s="11" t="s">
        <v>15</v>
      </c>
      <c r="E312" s="11" t="s">
        <v>13</v>
      </c>
      <c r="F312" s="15" t="s">
        <v>1920</v>
      </c>
      <c r="G312" s="16"/>
      <c r="H312" s="7" t="s">
        <v>1208</v>
      </c>
      <c r="I312" s="7" t="s">
        <v>250</v>
      </c>
      <c r="J312" s="7" t="s">
        <v>389</v>
      </c>
      <c r="K312" s="7" t="s">
        <v>1921</v>
      </c>
      <c r="L312" s="7" t="s">
        <v>1922</v>
      </c>
      <c r="M312" s="18">
        <v>1.7E8</v>
      </c>
      <c r="N312" s="3">
        <f>STANDARDIZE(M312,Profiling!$C$2, Profiling!$B$2)</f>
        <v>2.462033919</v>
      </c>
      <c r="O312" s="18">
        <v>3.966E8</v>
      </c>
      <c r="P312" s="3">
        <f>STANDARDIZE(O312,Profiling!$C$3, Profiling!$B$3)</f>
        <v>1.334840325</v>
      </c>
      <c r="Q312" s="3"/>
      <c r="R312" s="3"/>
    </row>
    <row r="313">
      <c r="A313" s="11" t="s">
        <v>1923</v>
      </c>
      <c r="B313" s="20">
        <v>41698.0</v>
      </c>
      <c r="C313" s="13" t="s">
        <v>1924</v>
      </c>
      <c r="D313" s="25" t="s">
        <v>20</v>
      </c>
      <c r="E313" s="11"/>
      <c r="F313" s="15" t="s">
        <v>1925</v>
      </c>
      <c r="G313" s="16"/>
      <c r="H313" s="7" t="s">
        <v>1926</v>
      </c>
      <c r="I313" s="7" t="s">
        <v>1927</v>
      </c>
      <c r="J313" s="7" t="s">
        <v>1928</v>
      </c>
      <c r="K313" s="17"/>
      <c r="L313" s="17"/>
      <c r="M313" s="18">
        <v>2.2E7</v>
      </c>
      <c r="N313" s="3">
        <f>STANDARDIZE(M313,Profiling!$C$2, Profiling!$B$2)</f>
        <v>-0.5461822489</v>
      </c>
      <c r="O313" s="18">
        <v>6.78E7</v>
      </c>
      <c r="P313" s="3">
        <f>STANDARDIZE(O313,Profiling!$C$3, Profiling!$B$3)</f>
        <v>-0.4593762392</v>
      </c>
      <c r="Q313" s="3"/>
      <c r="R313" s="3"/>
    </row>
    <row r="314">
      <c r="A314" s="11" t="s">
        <v>1929</v>
      </c>
      <c r="B314" s="20">
        <v>42139.0</v>
      </c>
      <c r="C314" s="13" t="s">
        <v>1930</v>
      </c>
      <c r="D314" s="11" t="s">
        <v>20</v>
      </c>
      <c r="E314" s="17"/>
      <c r="F314" s="15" t="s">
        <v>1931</v>
      </c>
      <c r="G314" s="16"/>
      <c r="H314" s="7" t="s">
        <v>1932</v>
      </c>
      <c r="I314" s="17"/>
      <c r="J314" s="17"/>
      <c r="K314" s="17"/>
      <c r="L314" s="17"/>
      <c r="M314" s="18">
        <v>1500000.0</v>
      </c>
      <c r="N314" s="3">
        <f>STANDARDIZE(M314,Profiling!$C$2, Profiling!$B$2)</f>
        <v>-0.9628608397</v>
      </c>
      <c r="O314" s="18">
        <v>6200000.0</v>
      </c>
      <c r="P314" s="3">
        <f>STANDARDIZE(O314,Profiling!$C$3, Profiling!$B$3)</f>
        <v>-0.7955190019</v>
      </c>
      <c r="Q314" s="3"/>
      <c r="R314" s="3"/>
    </row>
    <row r="315">
      <c r="A315" s="11" t="s">
        <v>1933</v>
      </c>
      <c r="B315" s="20">
        <v>42170.0</v>
      </c>
      <c r="C315" s="13" t="s">
        <v>1934</v>
      </c>
      <c r="D315" s="11" t="s">
        <v>20</v>
      </c>
      <c r="E315" s="17"/>
      <c r="F315" s="15" t="s">
        <v>1521</v>
      </c>
      <c r="G315" s="16"/>
      <c r="H315" s="7" t="s">
        <v>744</v>
      </c>
      <c r="I315" s="7" t="s">
        <v>162</v>
      </c>
      <c r="J315" s="7" t="s">
        <v>1935</v>
      </c>
      <c r="K315" s="7" t="s">
        <v>1936</v>
      </c>
      <c r="L315" s="7" t="s">
        <v>1937</v>
      </c>
      <c r="M315" s="18">
        <v>3.0E7</v>
      </c>
      <c r="N315" s="3">
        <f>STANDARDIZE(M315,Profiling!$C$2, Profiling!$B$2)</f>
        <v>-0.3835759695</v>
      </c>
      <c r="O315" s="18">
        <v>9.2E7</v>
      </c>
      <c r="P315" s="3">
        <f>STANDARDIZE(O315,Profiling!$C$3, Profiling!$B$3)</f>
        <v>-0.3273201538</v>
      </c>
      <c r="Q315" s="3"/>
      <c r="R315" s="3"/>
    </row>
    <row r="316">
      <c r="A316" s="11" t="s">
        <v>1938</v>
      </c>
      <c r="B316" s="20">
        <v>42250.0</v>
      </c>
      <c r="C316" s="13" t="s">
        <v>1939</v>
      </c>
      <c r="D316" s="11" t="s">
        <v>20</v>
      </c>
      <c r="E316" s="17"/>
      <c r="F316" s="15" t="s">
        <v>1940</v>
      </c>
      <c r="G316" s="16"/>
      <c r="H316" s="7" t="s">
        <v>1510</v>
      </c>
      <c r="I316" s="7" t="s">
        <v>1446</v>
      </c>
      <c r="J316" s="7" t="s">
        <v>162</v>
      </c>
      <c r="K316" s="7" t="s">
        <v>1604</v>
      </c>
      <c r="L316" s="7" t="s">
        <v>1941</v>
      </c>
      <c r="M316" s="18">
        <v>2.0E7</v>
      </c>
      <c r="N316" s="3">
        <f>STANDARDIZE(M316,Profiling!$C$2, Profiling!$B$2)</f>
        <v>-0.5868338187</v>
      </c>
      <c r="O316" s="18">
        <v>8.83E7</v>
      </c>
      <c r="P316" s="3">
        <f>STANDARDIZE(O316,Profiling!$C$3, Profiling!$B$3)</f>
        <v>-0.347510547</v>
      </c>
      <c r="Q316" s="3"/>
      <c r="R316" s="3"/>
    </row>
    <row r="317">
      <c r="A317" s="11" t="s">
        <v>1942</v>
      </c>
      <c r="B317" s="20">
        <v>42139.0</v>
      </c>
      <c r="C317" s="13" t="s">
        <v>1943</v>
      </c>
      <c r="D317" s="11" t="s">
        <v>15</v>
      </c>
      <c r="E317" s="11" t="s">
        <v>17</v>
      </c>
      <c r="F317" s="15" t="s">
        <v>891</v>
      </c>
      <c r="G317" s="16"/>
      <c r="H317" s="7" t="s">
        <v>892</v>
      </c>
      <c r="I317" s="7" t="s">
        <v>1357</v>
      </c>
      <c r="J317" s="7" t="s">
        <v>275</v>
      </c>
      <c r="K317" s="7" t="s">
        <v>1944</v>
      </c>
      <c r="L317" s="7" t="s">
        <v>276</v>
      </c>
      <c r="M317" s="18">
        <v>6.5E7</v>
      </c>
      <c r="N317" s="3">
        <f>STANDARDIZE(M317,Profiling!$C$2, Profiling!$B$2)</f>
        <v>0.3278265027</v>
      </c>
      <c r="O317" s="18">
        <v>2.357E8</v>
      </c>
      <c r="P317" s="3">
        <f>STANDARDIZE(O317,Profiling!$C$3, Profiling!$B$3)</f>
        <v>0.4568310637</v>
      </c>
      <c r="Q317" s="3"/>
      <c r="R317" s="3"/>
    </row>
    <row r="318">
      <c r="A318" s="11" t="s">
        <v>1945</v>
      </c>
      <c r="B318" s="20">
        <v>41887.0</v>
      </c>
      <c r="C318" s="13" t="s">
        <v>1946</v>
      </c>
      <c r="D318" s="11" t="s">
        <v>17</v>
      </c>
      <c r="E318" s="17"/>
      <c r="F318" s="26" t="s">
        <v>1947</v>
      </c>
      <c r="G318" s="16" t="s">
        <v>403</v>
      </c>
      <c r="H318" s="7" t="s">
        <v>223</v>
      </c>
      <c r="I318" s="7" t="s">
        <v>892</v>
      </c>
      <c r="J318" s="7" t="s">
        <v>1948</v>
      </c>
      <c r="K318" s="7" t="s">
        <v>1949</v>
      </c>
      <c r="L318" s="7" t="s">
        <v>1950</v>
      </c>
      <c r="M318" s="18">
        <v>1.3E7</v>
      </c>
      <c r="N318" s="3">
        <f>STANDARDIZE(M318,Profiling!$C$2, Profiling!$B$2)</f>
        <v>-0.7291143131</v>
      </c>
      <c r="O318" s="18">
        <v>5.48E7</v>
      </c>
      <c r="P318" s="3">
        <f>STANDARDIZE(O318,Profiling!$C$3, Profiling!$B$3)</f>
        <v>-0.5303154586</v>
      </c>
      <c r="Q318" s="3"/>
      <c r="R318" s="3"/>
    </row>
    <row r="319">
      <c r="A319" s="11" t="s">
        <v>1951</v>
      </c>
      <c r="B319" s="20">
        <v>41859.0</v>
      </c>
      <c r="C319" s="13" t="s">
        <v>1952</v>
      </c>
      <c r="D319" s="11" t="s">
        <v>12</v>
      </c>
      <c r="E319" s="17"/>
      <c r="F319" s="15" t="s">
        <v>1953</v>
      </c>
      <c r="G319" s="15" t="s">
        <v>1954</v>
      </c>
      <c r="H319" s="7" t="s">
        <v>1955</v>
      </c>
      <c r="I319" s="7" t="s">
        <v>1956</v>
      </c>
      <c r="J319" s="7" t="s">
        <v>1957</v>
      </c>
      <c r="K319" s="7" t="s">
        <v>1958</v>
      </c>
      <c r="L319" s="7" t="s">
        <v>1959</v>
      </c>
      <c r="M319" s="18">
        <v>3.5E7</v>
      </c>
      <c r="N319" s="3">
        <f>STANDARDIZE(M319,Profiling!$C$2, Profiling!$B$2)</f>
        <v>-0.2819470449</v>
      </c>
      <c r="O319" s="18">
        <v>1.964E8</v>
      </c>
      <c r="P319" s="3">
        <f>STANDARDIZE(O319,Profiling!$C$3, Profiling!$B$3)</f>
        <v>0.2423763466</v>
      </c>
      <c r="Q319" s="3"/>
      <c r="R319" s="3"/>
    </row>
    <row r="320">
      <c r="A320" s="11" t="s">
        <v>1960</v>
      </c>
      <c r="B320" s="20">
        <v>42573.0</v>
      </c>
      <c r="C320" s="13" t="s">
        <v>1961</v>
      </c>
      <c r="D320" s="11" t="s">
        <v>15</v>
      </c>
      <c r="E320" s="11" t="s">
        <v>10</v>
      </c>
      <c r="F320" s="15" t="s">
        <v>799</v>
      </c>
      <c r="G320" s="16"/>
      <c r="H320" s="7" t="s">
        <v>1121</v>
      </c>
      <c r="I320" s="7" t="s">
        <v>990</v>
      </c>
      <c r="J320" s="7" t="s">
        <v>1962</v>
      </c>
      <c r="K320" s="7" t="s">
        <v>1763</v>
      </c>
      <c r="L320" s="7" t="s">
        <v>1052</v>
      </c>
      <c r="M320" s="18">
        <v>1.85E8</v>
      </c>
      <c r="N320" s="3">
        <f>STANDARDIZE(M320,Profiling!$C$2, Profiling!$B$2)</f>
        <v>2.766920693</v>
      </c>
      <c r="O320" s="18">
        <v>2.43E8</v>
      </c>
      <c r="P320" s="3">
        <f>STANDARDIZE(O320,Profiling!$C$3, Profiling!$B$3)</f>
        <v>0.4966661639</v>
      </c>
      <c r="Q320" s="3"/>
      <c r="R320" s="3"/>
    </row>
    <row r="321">
      <c r="A321" s="11" t="s">
        <v>1963</v>
      </c>
      <c r="B321" s="20">
        <v>41859.0</v>
      </c>
      <c r="C321" s="13" t="s">
        <v>1964</v>
      </c>
      <c r="D321" s="25" t="s">
        <v>20</v>
      </c>
      <c r="E321" s="11"/>
      <c r="F321" s="15" t="s">
        <v>1965</v>
      </c>
      <c r="G321" s="16"/>
      <c r="H321" s="7" t="s">
        <v>1147</v>
      </c>
      <c r="I321" s="7" t="s">
        <v>1966</v>
      </c>
      <c r="J321" s="7" t="s">
        <v>1967</v>
      </c>
      <c r="K321" s="7" t="s">
        <v>1968</v>
      </c>
      <c r="L321" s="7" t="s">
        <v>1969</v>
      </c>
      <c r="M321" s="18">
        <v>4.5E7</v>
      </c>
      <c r="N321" s="3">
        <f>STANDARDIZE(M321,Profiling!$C$2, Profiling!$B$2)</f>
        <v>-0.07868919572</v>
      </c>
      <c r="O321" s="18">
        <v>8.62E7</v>
      </c>
      <c r="P321" s="3">
        <f>STANDARDIZE(O321,Profiling!$C$3, Profiling!$B$3)</f>
        <v>-0.3589699594</v>
      </c>
      <c r="Q321" s="3"/>
      <c r="R321" s="3"/>
    </row>
    <row r="322">
      <c r="A322" s="11" t="s">
        <v>1970</v>
      </c>
      <c r="B322" s="20">
        <v>42252.0</v>
      </c>
      <c r="C322" s="13" t="s">
        <v>1971</v>
      </c>
      <c r="D322" s="11" t="s">
        <v>24</v>
      </c>
      <c r="E322" s="17"/>
      <c r="F322" s="15" t="s">
        <v>1972</v>
      </c>
      <c r="G322" s="16"/>
      <c r="H322" s="7" t="s">
        <v>1700</v>
      </c>
      <c r="I322" s="7" t="s">
        <v>1214</v>
      </c>
      <c r="J322" s="7" t="s">
        <v>653</v>
      </c>
      <c r="K322" s="7" t="s">
        <v>709</v>
      </c>
      <c r="L322" s="7" t="s">
        <v>1973</v>
      </c>
      <c r="M322" s="18">
        <v>3.0E7</v>
      </c>
      <c r="N322" s="3">
        <f>STANDARDIZE(M322,Profiling!$C$2, Profiling!$B$2)</f>
        <v>-0.3835759695</v>
      </c>
      <c r="O322" s="18">
        <v>3.44E7</v>
      </c>
      <c r="P322" s="3">
        <f>STANDARDIZE(O322,Profiling!$C$3, Profiling!$B$3)</f>
        <v>-0.6416354644</v>
      </c>
      <c r="Q322" s="3"/>
      <c r="R322" s="3"/>
    </row>
    <row r="323">
      <c r="A323" s="11" t="s">
        <v>1974</v>
      </c>
      <c r="B323" s="20">
        <v>42227.0</v>
      </c>
      <c r="C323" s="13" t="s">
        <v>1975</v>
      </c>
      <c r="D323" s="11" t="s">
        <v>24</v>
      </c>
      <c r="E323" s="11" t="s">
        <v>20</v>
      </c>
      <c r="F323" s="15" t="s">
        <v>1976</v>
      </c>
      <c r="G323" s="16"/>
      <c r="H323" s="7" t="s">
        <v>1977</v>
      </c>
      <c r="I323" s="7" t="s">
        <v>670</v>
      </c>
      <c r="J323" s="7" t="s">
        <v>1978</v>
      </c>
      <c r="K323" s="7" t="s">
        <v>1979</v>
      </c>
      <c r="L323" s="7" t="s">
        <v>1980</v>
      </c>
      <c r="M323" s="18">
        <v>5.0E7</v>
      </c>
      <c r="N323" s="3">
        <f>STANDARDIZE(M323,Profiling!$C$2, Profiling!$B$2)</f>
        <v>0.02293972887</v>
      </c>
      <c r="O323" s="18">
        <v>2.016E8</v>
      </c>
      <c r="P323" s="3">
        <f>STANDARDIZE(O323,Profiling!$C$3, Profiling!$B$3)</f>
        <v>0.2707520344</v>
      </c>
      <c r="Q323" s="3"/>
      <c r="R323" s="3"/>
    </row>
    <row r="324">
      <c r="A324" s="11" t="s">
        <v>1981</v>
      </c>
      <c r="B324" s="20">
        <v>42251.0</v>
      </c>
      <c r="C324" s="13" t="s">
        <v>1982</v>
      </c>
      <c r="D324" s="11" t="s">
        <v>20</v>
      </c>
      <c r="E324" s="17"/>
      <c r="F324" s="15" t="s">
        <v>1983</v>
      </c>
      <c r="G324" s="16"/>
      <c r="H324" s="7" t="s">
        <v>1984</v>
      </c>
      <c r="I324" s="7" t="s">
        <v>586</v>
      </c>
      <c r="J324" s="7" t="s">
        <v>812</v>
      </c>
      <c r="K324" s="7" t="s">
        <v>536</v>
      </c>
      <c r="L324" s="7" t="s">
        <v>1985</v>
      </c>
      <c r="M324" s="18">
        <v>1.4E7</v>
      </c>
      <c r="N324" s="3">
        <f>STANDARDIZE(M324,Profiling!$C$2, Profiling!$B$2)</f>
        <v>-0.7087885282</v>
      </c>
      <c r="O324" s="18">
        <v>3.2E7</v>
      </c>
      <c r="P324" s="3">
        <f>STANDARDIZE(O324,Profiling!$C$3, Profiling!$B$3)</f>
        <v>-0.6547319357</v>
      </c>
      <c r="Q324" s="3"/>
      <c r="R324" s="3"/>
    </row>
    <row r="325">
      <c r="A325" s="11" t="s">
        <v>1986</v>
      </c>
      <c r="B325" s="20">
        <v>42587.0</v>
      </c>
      <c r="C325" s="13" t="s">
        <v>1987</v>
      </c>
      <c r="D325" s="11" t="s">
        <v>15</v>
      </c>
      <c r="E325" s="11"/>
      <c r="F325" s="15" t="s">
        <v>743</v>
      </c>
      <c r="G325" s="16"/>
      <c r="H325" s="7" t="s">
        <v>198</v>
      </c>
      <c r="I325" s="7" t="s">
        <v>1988</v>
      </c>
      <c r="J325" s="7" t="s">
        <v>1989</v>
      </c>
      <c r="K325" s="7" t="s">
        <v>520</v>
      </c>
      <c r="L325" s="7" t="s">
        <v>348</v>
      </c>
      <c r="M325" s="18">
        <v>1.75E8</v>
      </c>
      <c r="N325" s="3">
        <f>STANDARDIZE(M325,Profiling!$C$2, Profiling!$B$2)</f>
        <v>2.563662844</v>
      </c>
      <c r="O325" s="18">
        <v>6.367E8</v>
      </c>
      <c r="P325" s="3">
        <f>STANDARDIZE(O325,Profiling!$C$3, Profiling!$B$3)</f>
        <v>2.645033139</v>
      </c>
      <c r="Q325" s="3"/>
      <c r="R325" s="3"/>
    </row>
    <row r="326">
      <c r="A326" s="11" t="s">
        <v>1990</v>
      </c>
      <c r="B326" s="20">
        <v>41187.0</v>
      </c>
      <c r="C326" s="13" t="s">
        <v>1991</v>
      </c>
      <c r="D326" s="11" t="s">
        <v>15</v>
      </c>
      <c r="E326" s="11" t="s">
        <v>19</v>
      </c>
      <c r="F326" s="15" t="s">
        <v>1992</v>
      </c>
      <c r="G326" s="16"/>
      <c r="H326" s="7" t="s">
        <v>177</v>
      </c>
      <c r="I326" s="7" t="s">
        <v>966</v>
      </c>
      <c r="J326" s="7" t="s">
        <v>1273</v>
      </c>
      <c r="K326" s="7" t="s">
        <v>1993</v>
      </c>
      <c r="L326" s="7" t="s">
        <v>245</v>
      </c>
      <c r="M326" s="18">
        <v>4.3E7</v>
      </c>
      <c r="N326" s="3">
        <f>STANDARDIZE(M326,Profiling!$C$2, Profiling!$B$2)</f>
        <v>-0.1193407656</v>
      </c>
      <c r="O326" s="18">
        <v>3.761E8</v>
      </c>
      <c r="P326" s="3">
        <f>STANDARDIZE(O326,Profiling!$C$3, Profiling!$B$3)</f>
        <v>1.222974633</v>
      </c>
      <c r="Q326" s="3"/>
      <c r="R326" s="3"/>
    </row>
    <row r="327">
      <c r="A327" s="11" t="s">
        <v>1994</v>
      </c>
      <c r="B327" s="20">
        <v>41822.0</v>
      </c>
      <c r="C327" s="13" t="s">
        <v>1995</v>
      </c>
      <c r="D327" s="11" t="s">
        <v>17</v>
      </c>
      <c r="E327" s="17"/>
      <c r="F327" s="15" t="s">
        <v>753</v>
      </c>
      <c r="G327" s="16"/>
      <c r="H327" s="7" t="s">
        <v>892</v>
      </c>
      <c r="I327" s="7" t="s">
        <v>1139</v>
      </c>
      <c r="J327" s="7" t="s">
        <v>173</v>
      </c>
      <c r="K327" s="7" t="s">
        <v>146</v>
      </c>
      <c r="L327" s="7" t="s">
        <v>1996</v>
      </c>
      <c r="M327" s="18">
        <v>2.0E7</v>
      </c>
      <c r="N327" s="3">
        <f>STANDARDIZE(M327,Profiling!$C$2, Profiling!$B$2)</f>
        <v>-0.5868338187</v>
      </c>
      <c r="O327" s="18">
        <v>1.005E8</v>
      </c>
      <c r="P327" s="3">
        <f>STANDARDIZE(O327,Profiling!$C$3, Profiling!$B$3)</f>
        <v>-0.2809368181</v>
      </c>
      <c r="Q327" s="3"/>
      <c r="R327" s="3"/>
    </row>
    <row r="328">
      <c r="A328" s="11" t="s">
        <v>1997</v>
      </c>
      <c r="B328" s="20">
        <v>41089.0</v>
      </c>
      <c r="C328" s="13" t="s">
        <v>1998</v>
      </c>
      <c r="D328" s="11" t="s">
        <v>17</v>
      </c>
      <c r="E328" s="17"/>
      <c r="F328" s="15" t="s">
        <v>1999</v>
      </c>
      <c r="G328" s="16"/>
      <c r="H328" s="7" t="s">
        <v>76</v>
      </c>
      <c r="I328" s="7" t="s">
        <v>302</v>
      </c>
      <c r="J328" s="7" t="s">
        <v>1999</v>
      </c>
      <c r="K328" s="7" t="s">
        <v>2000</v>
      </c>
      <c r="L328" s="7" t="s">
        <v>623</v>
      </c>
      <c r="M328" s="18">
        <v>5.1E7</v>
      </c>
      <c r="N328" s="3">
        <f>STANDARDIZE(M328,Profiling!$C$2, Profiling!$B$2)</f>
        <v>0.04326551379</v>
      </c>
      <c r="O328" s="18">
        <v>5.494E8</v>
      </c>
      <c r="P328" s="3">
        <f>STANDARDIZE(O328,Profiling!$C$3, Profiling!$B$3)</f>
        <v>2.168648997</v>
      </c>
      <c r="Q328" s="3"/>
      <c r="R328" s="3"/>
    </row>
    <row r="329">
      <c r="A329" s="11" t="s">
        <v>2001</v>
      </c>
      <c r="B329" s="20">
        <v>42179.0</v>
      </c>
      <c r="C329" s="13" t="s">
        <v>2002</v>
      </c>
      <c r="D329" s="11" t="s">
        <v>17</v>
      </c>
      <c r="E329" s="17"/>
      <c r="F329" s="15" t="s">
        <v>1999</v>
      </c>
      <c r="G329" s="16"/>
      <c r="H329" s="7" t="s">
        <v>2003</v>
      </c>
      <c r="I329" s="7" t="s">
        <v>2004</v>
      </c>
      <c r="J329" s="7" t="s">
        <v>1999</v>
      </c>
      <c r="K329" s="7" t="s">
        <v>766</v>
      </c>
      <c r="L329" s="7" t="s">
        <v>2000</v>
      </c>
      <c r="M329" s="18">
        <v>6.8E7</v>
      </c>
      <c r="N329" s="3">
        <f>STANDARDIZE(M329,Profiling!$C$2, Profiling!$B$2)</f>
        <v>0.3888038574</v>
      </c>
      <c r="O329" s="18">
        <v>2.167E8</v>
      </c>
      <c r="P329" s="3">
        <f>STANDARDIZE(O329,Profiling!$C$3, Profiling!$B$3)</f>
        <v>0.3531506661</v>
      </c>
      <c r="Q329" s="3"/>
      <c r="R329" s="3"/>
    </row>
    <row r="330">
      <c r="A330" s="11" t="s">
        <v>2005</v>
      </c>
      <c r="B330" s="20">
        <v>41849.0</v>
      </c>
      <c r="C330" s="13" t="s">
        <v>2006</v>
      </c>
      <c r="D330" s="11" t="s">
        <v>15</v>
      </c>
      <c r="E330" s="11" t="s">
        <v>17</v>
      </c>
      <c r="F330" s="15" t="s">
        <v>2007</v>
      </c>
      <c r="G330" s="16"/>
      <c r="H330" s="7" t="s">
        <v>2008</v>
      </c>
      <c r="I330" s="7" t="s">
        <v>2009</v>
      </c>
      <c r="J330" s="7" t="s">
        <v>2010</v>
      </c>
      <c r="K330" s="7" t="s">
        <v>2011</v>
      </c>
      <c r="L330" s="7" t="s">
        <v>2012</v>
      </c>
      <c r="M330" s="18">
        <v>1.25E8</v>
      </c>
      <c r="N330" s="3">
        <f>STANDARDIZE(M330,Profiling!$C$2, Profiling!$B$2)</f>
        <v>1.547373598</v>
      </c>
      <c r="O330" s="18">
        <v>4.933E8</v>
      </c>
      <c r="P330" s="3">
        <f>STANDARDIZE(O330,Profiling!$C$3, Profiling!$B$3)</f>
        <v>1.862518981</v>
      </c>
      <c r="Q330" s="3"/>
      <c r="R330" s="3"/>
    </row>
    <row r="331">
      <c r="A331" s="11" t="s">
        <v>2013</v>
      </c>
      <c r="B331" s="20">
        <v>42512.0</v>
      </c>
      <c r="C331" s="13" t="s">
        <v>2014</v>
      </c>
      <c r="D331" s="11" t="s">
        <v>15</v>
      </c>
      <c r="E331" s="11"/>
      <c r="F331" s="15" t="s">
        <v>714</v>
      </c>
      <c r="G331" s="16"/>
      <c r="H331" s="7" t="s">
        <v>2008</v>
      </c>
      <c r="I331" s="7" t="s">
        <v>2015</v>
      </c>
      <c r="J331" s="7" t="s">
        <v>2016</v>
      </c>
      <c r="K331" s="7" t="s">
        <v>2017</v>
      </c>
      <c r="L331" s="7" t="s">
        <v>2018</v>
      </c>
      <c r="M331" s="18">
        <v>1.35E8</v>
      </c>
      <c r="N331" s="3">
        <f>STANDARDIZE(M331,Profiling!$C$2, Profiling!$B$2)</f>
        <v>1.750631447</v>
      </c>
      <c r="O331" s="18">
        <v>2.425E8</v>
      </c>
      <c r="P331" s="3">
        <f>STANDARDIZE(O331,Profiling!$C$3, Profiling!$B$3)</f>
        <v>0.4939377323</v>
      </c>
      <c r="Q331" s="3"/>
      <c r="R331" s="3"/>
    </row>
    <row r="332">
      <c r="A332" s="11" t="s">
        <v>2019</v>
      </c>
      <c r="B332" s="20">
        <v>42177.0</v>
      </c>
      <c r="C332" s="13" t="s">
        <v>2020</v>
      </c>
      <c r="D332" s="11" t="s">
        <v>14</v>
      </c>
      <c r="E332" s="11" t="s">
        <v>15</v>
      </c>
      <c r="F332" s="15" t="s">
        <v>2021</v>
      </c>
      <c r="G332" s="16"/>
      <c r="H332" s="7" t="s">
        <v>1832</v>
      </c>
      <c r="I332" s="7" t="s">
        <v>2022</v>
      </c>
      <c r="J332" s="7" t="s">
        <v>1349</v>
      </c>
      <c r="K332" s="7" t="s">
        <v>522</v>
      </c>
      <c r="L332" s="7" t="s">
        <v>127</v>
      </c>
      <c r="M332" s="18">
        <v>1.55E8</v>
      </c>
      <c r="N332" s="3">
        <f>STANDARDIZE(M332,Profiling!$C$2, Profiling!$B$2)</f>
        <v>2.157147145</v>
      </c>
      <c r="O332" s="18">
        <v>4.406E8</v>
      </c>
      <c r="P332" s="3">
        <f>STANDARDIZE(O332,Profiling!$C$3, Profiling!$B$3)</f>
        <v>1.574942299</v>
      </c>
      <c r="Q332" s="3"/>
      <c r="R332" s="3"/>
    </row>
    <row r="333">
      <c r="A333" s="11" t="s">
        <v>2023</v>
      </c>
      <c r="B333" s="20">
        <v>41278.0</v>
      </c>
      <c r="C333" s="13" t="s">
        <v>2024</v>
      </c>
      <c r="D333" s="11" t="s">
        <v>18</v>
      </c>
      <c r="E333" s="17"/>
      <c r="F333" s="15" t="s">
        <v>2025</v>
      </c>
      <c r="G333" s="16"/>
      <c r="H333" s="7" t="s">
        <v>1621</v>
      </c>
      <c r="I333" s="7" t="s">
        <v>2026</v>
      </c>
      <c r="J333" s="7" t="s">
        <v>2027</v>
      </c>
      <c r="K333" s="7" t="s">
        <v>2028</v>
      </c>
      <c r="L333" s="7" t="s">
        <v>2029</v>
      </c>
      <c r="M333" s="18">
        <v>2.0E7</v>
      </c>
      <c r="N333" s="3">
        <f>STANDARDIZE(M333,Profiling!$C$2, Profiling!$B$2)</f>
        <v>-0.5868338187</v>
      </c>
      <c r="O333" s="18">
        <v>4.72E7</v>
      </c>
      <c r="P333" s="3">
        <f>STANDARDIZE(O333,Profiling!$C$3, Profiling!$B$3)</f>
        <v>-0.5717876176</v>
      </c>
      <c r="Q333" s="3"/>
      <c r="R333" s="3"/>
    </row>
    <row r="334">
      <c r="A334" s="11" t="s">
        <v>2030</v>
      </c>
      <c r="B334" s="20">
        <v>41666.0</v>
      </c>
      <c r="C334" s="13" t="s">
        <v>2031</v>
      </c>
      <c r="D334" s="11" t="s">
        <v>17</v>
      </c>
      <c r="E334" s="11" t="s">
        <v>22</v>
      </c>
      <c r="F334" s="15" t="s">
        <v>2032</v>
      </c>
      <c r="G334" s="16"/>
      <c r="H334" s="7" t="s">
        <v>680</v>
      </c>
      <c r="I334" s="7" t="s">
        <v>527</v>
      </c>
      <c r="J334" s="7" t="s">
        <v>795</v>
      </c>
      <c r="K334" s="7" t="s">
        <v>149</v>
      </c>
      <c r="L334" s="7" t="s">
        <v>781</v>
      </c>
      <c r="M334" s="18">
        <v>8000000.0</v>
      </c>
      <c r="N334" s="3">
        <f>STANDARDIZE(M334,Profiling!$C$2, Profiling!$B$2)</f>
        <v>-0.8307432377</v>
      </c>
      <c r="O334" s="18">
        <v>4.05E7</v>
      </c>
      <c r="P334" s="3">
        <f>STANDARDIZE(O334,Profiling!$C$3, Profiling!$B$3)</f>
        <v>-0.6083485999</v>
      </c>
      <c r="Q334" s="3"/>
      <c r="R334" s="3"/>
    </row>
    <row r="335">
      <c r="A335" s="11" t="s">
        <v>2033</v>
      </c>
      <c r="B335" s="20">
        <v>42222.0</v>
      </c>
      <c r="C335" s="13" t="s">
        <v>2034</v>
      </c>
      <c r="D335" s="25" t="s">
        <v>20</v>
      </c>
      <c r="E335" s="17"/>
      <c r="F335" s="15" t="s">
        <v>1370</v>
      </c>
      <c r="G335" s="16"/>
      <c r="H335" s="7" t="s">
        <v>2035</v>
      </c>
      <c r="I335" s="7" t="s">
        <v>96</v>
      </c>
      <c r="J335" s="7" t="s">
        <v>921</v>
      </c>
      <c r="K335" s="7" t="s">
        <v>2036</v>
      </c>
      <c r="L335" s="7" t="s">
        <v>2037</v>
      </c>
      <c r="M335" s="18">
        <v>2.6E7</v>
      </c>
      <c r="N335" s="3">
        <f>STANDARDIZE(M335,Profiling!$C$2, Profiling!$B$2)</f>
        <v>-0.4648791092</v>
      </c>
      <c r="O335" s="18">
        <v>2.49E7</v>
      </c>
      <c r="P335" s="3">
        <f>STANDARDIZE(O335,Profiling!$C$3, Profiling!$B$3)</f>
        <v>-0.6934756632</v>
      </c>
      <c r="Q335" s="3"/>
      <c r="R335" s="3"/>
    </row>
    <row r="336">
      <c r="A336" s="11" t="s">
        <v>2038</v>
      </c>
      <c r="B336" s="20">
        <v>42391.0</v>
      </c>
      <c r="C336" s="13" t="s">
        <v>2039</v>
      </c>
      <c r="D336" s="11" t="s">
        <v>14</v>
      </c>
      <c r="E336" s="11" t="s">
        <v>10</v>
      </c>
      <c r="F336" s="15" t="s">
        <v>2040</v>
      </c>
      <c r="G336" s="16"/>
      <c r="H336" s="7" t="s">
        <v>1056</v>
      </c>
      <c r="I336" s="7" t="s">
        <v>2041</v>
      </c>
      <c r="J336" s="7" t="s">
        <v>2042</v>
      </c>
      <c r="K336" s="7" t="s">
        <v>1604</v>
      </c>
      <c r="L336" s="7" t="s">
        <v>2043</v>
      </c>
      <c r="M336" s="18">
        <v>3.5E7</v>
      </c>
      <c r="N336" s="3">
        <f>STANDARDIZE(M336,Profiling!$C$2, Profiling!$B$2)</f>
        <v>-0.2819470449</v>
      </c>
      <c r="O336" s="18">
        <v>1.107E8</v>
      </c>
      <c r="P336" s="3">
        <f>STANDARDIZE(O336,Profiling!$C$3, Profiling!$B$3)</f>
        <v>-0.2252768151</v>
      </c>
      <c r="Q336" s="3"/>
      <c r="R336" s="3"/>
    </row>
    <row r="337">
      <c r="A337" s="11" t="s">
        <v>2044</v>
      </c>
      <c r="B337" s="20">
        <v>42118.0</v>
      </c>
      <c r="C337" s="13" t="s">
        <v>2045</v>
      </c>
      <c r="D337" s="11" t="s">
        <v>22</v>
      </c>
      <c r="E337" s="17"/>
      <c r="F337" s="15" t="s">
        <v>2046</v>
      </c>
      <c r="G337" s="16"/>
      <c r="H337" s="7" t="s">
        <v>1846</v>
      </c>
      <c r="I337" s="7" t="s">
        <v>2047</v>
      </c>
      <c r="J337" s="7" t="s">
        <v>104</v>
      </c>
      <c r="K337" s="7" t="s">
        <v>2048</v>
      </c>
      <c r="L337" s="7" t="s">
        <v>2049</v>
      </c>
      <c r="M337" s="18">
        <v>2.5E7</v>
      </c>
      <c r="N337" s="3">
        <f>STANDARDIZE(M337,Profiling!$C$2, Profiling!$B$2)</f>
        <v>-0.4852048941</v>
      </c>
      <c r="O337" s="18">
        <v>6.57E7</v>
      </c>
      <c r="P337" s="3">
        <f>STANDARDIZE(O337,Profiling!$C$3, Profiling!$B$3)</f>
        <v>-0.4708356515</v>
      </c>
      <c r="Q337" s="3"/>
      <c r="R337" s="3"/>
    </row>
    <row r="338">
      <c r="A338" s="11" t="s">
        <v>2050</v>
      </c>
      <c r="B338" s="20">
        <v>41093.0</v>
      </c>
      <c r="C338" s="13" t="s">
        <v>2051</v>
      </c>
      <c r="D338" s="11" t="s">
        <v>15</v>
      </c>
      <c r="E338" s="11" t="s">
        <v>13</v>
      </c>
      <c r="F338" s="15" t="s">
        <v>38</v>
      </c>
      <c r="G338" s="16"/>
      <c r="H338" s="7" t="s">
        <v>2052</v>
      </c>
      <c r="I338" s="7" t="s">
        <v>221</v>
      </c>
      <c r="J338" s="7" t="s">
        <v>244</v>
      </c>
      <c r="K338" s="7" t="s">
        <v>2053</v>
      </c>
      <c r="L338" s="7" t="s">
        <v>1259</v>
      </c>
      <c r="M338" s="18">
        <v>2.3E8</v>
      </c>
      <c r="N338" s="3">
        <f>STANDARDIZE(M338,Profiling!$C$2, Profiling!$B$2)</f>
        <v>3.681581014</v>
      </c>
      <c r="O338" s="18">
        <v>7.579E8</v>
      </c>
      <c r="P338" s="3">
        <f>STANDARDIZE(O338,Profiling!$C$3, Profiling!$B$3)</f>
        <v>3.306404939</v>
      </c>
      <c r="Q338" s="3"/>
      <c r="R338" s="3"/>
    </row>
    <row r="339">
      <c r="A339" s="11" t="s">
        <v>2054</v>
      </c>
      <c r="B339" s="20">
        <v>42495.0</v>
      </c>
      <c r="C339" s="13" t="s">
        <v>2055</v>
      </c>
      <c r="D339" s="11" t="s">
        <v>17</v>
      </c>
      <c r="E339" s="17"/>
      <c r="F339" s="15" t="s">
        <v>2056</v>
      </c>
      <c r="G339" s="15" t="s">
        <v>2057</v>
      </c>
      <c r="H339" s="7" t="s">
        <v>767</v>
      </c>
      <c r="I339" s="7" t="s">
        <v>1158</v>
      </c>
      <c r="J339" s="7" t="s">
        <v>2058</v>
      </c>
      <c r="K339" s="7" t="s">
        <v>542</v>
      </c>
      <c r="L339" s="7" t="s">
        <v>835</v>
      </c>
      <c r="M339" s="18">
        <v>7.3E7</v>
      </c>
      <c r="N339" s="3">
        <f>STANDARDIZE(M339,Profiling!$C$2, Profiling!$B$2)</f>
        <v>0.490432782</v>
      </c>
      <c r="O339" s="18">
        <v>3.469E8</v>
      </c>
      <c r="P339" s="3">
        <f>STANDARDIZE(O339,Profiling!$C$3, Profiling!$B$3)</f>
        <v>1.063634233</v>
      </c>
      <c r="Q339" s="3"/>
      <c r="R339" s="3"/>
    </row>
    <row r="340">
      <c r="A340" s="11" t="s">
        <v>2059</v>
      </c>
      <c r="B340" s="20">
        <v>41033.0</v>
      </c>
      <c r="C340" s="13" t="s">
        <v>2060</v>
      </c>
      <c r="D340" s="11" t="s">
        <v>17</v>
      </c>
      <c r="E340" s="11" t="s">
        <v>20</v>
      </c>
      <c r="F340" s="15" t="s">
        <v>2061</v>
      </c>
      <c r="G340" s="16"/>
      <c r="H340" s="7" t="s">
        <v>2062</v>
      </c>
      <c r="I340" s="7" t="s">
        <v>2063</v>
      </c>
      <c r="J340" s="7" t="s">
        <v>492</v>
      </c>
      <c r="K340" s="7" t="s">
        <v>1869</v>
      </c>
      <c r="L340" s="7" t="s">
        <v>2064</v>
      </c>
      <c r="M340" s="18">
        <v>1.0E7</v>
      </c>
      <c r="N340" s="3">
        <f>STANDARDIZE(M340,Profiling!$C$2, Profiling!$B$2)</f>
        <v>-0.7900916679</v>
      </c>
      <c r="O340" s="18">
        <v>1.368E8</v>
      </c>
      <c r="P340" s="3">
        <f>STANDARDIZE(O340,Profiling!$C$3, Profiling!$B$3)</f>
        <v>-0.08285269004</v>
      </c>
      <c r="Q340" s="3"/>
      <c r="R340" s="3"/>
    </row>
    <row r="341">
      <c r="A341" s="11" t="s">
        <v>2065</v>
      </c>
      <c r="B341" s="20">
        <v>42349.0</v>
      </c>
      <c r="C341" s="13" t="s">
        <v>2066</v>
      </c>
      <c r="D341" s="11" t="s">
        <v>24</v>
      </c>
      <c r="E341" s="11" t="s">
        <v>20</v>
      </c>
      <c r="F341" s="15" t="s">
        <v>2067</v>
      </c>
      <c r="G341" s="16"/>
      <c r="H341" s="5" t="s">
        <v>2068</v>
      </c>
      <c r="I341" s="7" t="s">
        <v>627</v>
      </c>
      <c r="J341" s="7" t="s">
        <v>856</v>
      </c>
      <c r="K341" s="7" t="s">
        <v>451</v>
      </c>
      <c r="L341" s="7" t="s">
        <v>1687</v>
      </c>
      <c r="M341" s="18">
        <v>2.8E7</v>
      </c>
      <c r="N341" s="3">
        <f>STANDARDIZE(M341,Profiling!$C$2, Profiling!$B$2)</f>
        <v>-0.4242275393</v>
      </c>
      <c r="O341" s="18">
        <v>1.3330000000000001E8</v>
      </c>
      <c r="P341" s="3">
        <f>STANDARDIZE(O341,Profiling!$C$3, Profiling!$B$3)</f>
        <v>-0.1019517106</v>
      </c>
      <c r="Q341" s="3"/>
      <c r="R341" s="3"/>
    </row>
    <row r="342">
      <c r="A342" s="11" t="s">
        <v>2069</v>
      </c>
      <c r="B342" s="20">
        <v>41439.0</v>
      </c>
      <c r="C342" s="13" t="s">
        <v>2070</v>
      </c>
      <c r="D342" s="11" t="s">
        <v>17</v>
      </c>
      <c r="E342" s="11" t="s">
        <v>25</v>
      </c>
      <c r="F342" s="15" t="s">
        <v>2071</v>
      </c>
      <c r="G342" s="16"/>
      <c r="H342" s="7" t="s">
        <v>1497</v>
      </c>
      <c r="I342" s="7" t="s">
        <v>2072</v>
      </c>
      <c r="J342" s="7" t="s">
        <v>2073</v>
      </c>
      <c r="K342" s="7" t="s">
        <v>2074</v>
      </c>
      <c r="L342" s="7" t="s">
        <v>2075</v>
      </c>
      <c r="M342" s="18">
        <v>8000000.0</v>
      </c>
      <c r="N342" s="3">
        <f>STANDARDIZE(M342,Profiling!$C$2, Profiling!$B$2)</f>
        <v>-0.8307432377</v>
      </c>
      <c r="O342" s="18">
        <v>1.91E7</v>
      </c>
      <c r="P342" s="3">
        <f>STANDARDIZE(O342,Profiling!$C$3, Profiling!$B$3)</f>
        <v>-0.7251254688</v>
      </c>
      <c r="Q342" s="3"/>
      <c r="R342" s="3"/>
    </row>
    <row r="343">
      <c r="A343" s="11" t="s">
        <v>2076</v>
      </c>
      <c r="B343" s="20">
        <v>41924.0</v>
      </c>
      <c r="C343" s="13" t="s">
        <v>2077</v>
      </c>
      <c r="D343" s="11" t="s">
        <v>11</v>
      </c>
      <c r="E343" s="17"/>
      <c r="F343" s="15" t="s">
        <v>2078</v>
      </c>
      <c r="G343" s="16"/>
      <c r="H343" s="7" t="s">
        <v>303</v>
      </c>
      <c r="I343" s="7" t="s">
        <v>482</v>
      </c>
      <c r="J343" s="7" t="s">
        <v>1962</v>
      </c>
      <c r="K343" s="7" t="s">
        <v>87</v>
      </c>
      <c r="L343" s="17"/>
      <c r="M343" s="18">
        <v>5.0E7</v>
      </c>
      <c r="N343" s="3">
        <f>STANDARDIZE(M343,Profiling!$C$2, Profiling!$B$2)</f>
        <v>0.02293972887</v>
      </c>
      <c r="O343" s="18">
        <v>9.98E7</v>
      </c>
      <c r="P343" s="3">
        <f>STANDARDIZE(O343,Profiling!$C$3, Profiling!$B$3)</f>
        <v>-0.2847566222</v>
      </c>
      <c r="Q343" s="3"/>
      <c r="R343" s="3"/>
    </row>
    <row r="344">
      <c r="A344" s="11" t="s">
        <v>2079</v>
      </c>
      <c r="B344" s="20">
        <v>42468.0</v>
      </c>
      <c r="C344" s="13" t="s">
        <v>2080</v>
      </c>
      <c r="D344" s="11" t="s">
        <v>17</v>
      </c>
      <c r="E344" s="17"/>
      <c r="F344" s="15" t="s">
        <v>753</v>
      </c>
      <c r="G344" s="16"/>
      <c r="H344" s="7" t="s">
        <v>892</v>
      </c>
      <c r="I344" s="7" t="s">
        <v>304</v>
      </c>
      <c r="J344" s="7" t="s">
        <v>1639</v>
      </c>
      <c r="K344" s="7" t="s">
        <v>2081</v>
      </c>
      <c r="L344" s="7" t="s">
        <v>544</v>
      </c>
      <c r="M344" s="18">
        <v>2.9E7</v>
      </c>
      <c r="N344" s="3">
        <f>STANDARDIZE(M344,Profiling!$C$2, Profiling!$B$2)</f>
        <v>-0.4039017544</v>
      </c>
      <c r="O344" s="18">
        <v>7.86E7</v>
      </c>
      <c r="P344" s="3">
        <f>STANDARDIZE(O344,Profiling!$C$3, Profiling!$B$3)</f>
        <v>-0.4004421184</v>
      </c>
      <c r="Q344" s="3"/>
      <c r="R344" s="3"/>
    </row>
    <row r="345">
      <c r="A345" s="11" t="s">
        <v>2082</v>
      </c>
      <c r="B345" s="20">
        <v>41131.0</v>
      </c>
      <c r="C345" s="13" t="s">
        <v>2083</v>
      </c>
      <c r="D345" s="11" t="s">
        <v>15</v>
      </c>
      <c r="E345" s="11" t="s">
        <v>19</v>
      </c>
      <c r="F345" s="15" t="s">
        <v>2084</v>
      </c>
      <c r="G345" s="16"/>
      <c r="H345" s="7" t="s">
        <v>963</v>
      </c>
      <c r="I345" s="7" t="s">
        <v>2085</v>
      </c>
      <c r="J345" s="7" t="s">
        <v>1407</v>
      </c>
      <c r="K345" s="7" t="s">
        <v>153</v>
      </c>
      <c r="L345" s="7" t="s">
        <v>1816</v>
      </c>
      <c r="M345" s="18">
        <v>1.25E8</v>
      </c>
      <c r="N345" s="3">
        <f>STANDARDIZE(M345,Profiling!$C$2, Profiling!$B$2)</f>
        <v>1.547373598</v>
      </c>
      <c r="O345" s="18">
        <v>2.761E8</v>
      </c>
      <c r="P345" s="3">
        <f>STANDARDIZE(O345,Profiling!$C$3, Profiling!$B$3)</f>
        <v>0.6772883302</v>
      </c>
      <c r="Q345" s="3"/>
      <c r="R345" s="3"/>
    </row>
    <row r="346">
      <c r="A346" s="11" t="s">
        <v>2086</v>
      </c>
      <c r="B346" s="20">
        <v>41882.0</v>
      </c>
      <c r="C346" s="13" t="s">
        <v>2087</v>
      </c>
      <c r="D346" s="11" t="s">
        <v>11</v>
      </c>
      <c r="E346" s="17"/>
      <c r="F346" s="15" t="s">
        <v>2088</v>
      </c>
      <c r="G346" s="15" t="s">
        <v>2089</v>
      </c>
      <c r="H346" s="7" t="s">
        <v>1863</v>
      </c>
      <c r="I346" s="7" t="s">
        <v>146</v>
      </c>
      <c r="J346" s="7" t="s">
        <v>2090</v>
      </c>
      <c r="K346" s="7" t="s">
        <v>2091</v>
      </c>
      <c r="L346" s="7" t="s">
        <v>1658</v>
      </c>
      <c r="M346" s="18">
        <v>6.0E7</v>
      </c>
      <c r="N346" s="3">
        <f>STANDARDIZE(M346,Profiling!$C$2, Profiling!$B$2)</f>
        <v>0.2261975781</v>
      </c>
      <c r="O346" s="18">
        <v>1.093E8</v>
      </c>
      <c r="P346" s="3">
        <f>STANDARDIZE(O346,Profiling!$C$3, Profiling!$B$3)</f>
        <v>-0.2329164234</v>
      </c>
      <c r="Q346" s="3"/>
      <c r="R346" s="3"/>
    </row>
    <row r="347">
      <c r="A347" s="11" t="s">
        <v>2092</v>
      </c>
      <c r="B347" s="20">
        <v>42391.0</v>
      </c>
      <c r="C347" s="13" t="s">
        <v>2093</v>
      </c>
      <c r="D347" s="11" t="s">
        <v>18</v>
      </c>
      <c r="E347" s="11" t="s">
        <v>19</v>
      </c>
      <c r="F347" s="15" t="s">
        <v>2094</v>
      </c>
      <c r="G347" s="16"/>
      <c r="H347" s="7" t="s">
        <v>2095</v>
      </c>
      <c r="I347" s="7" t="s">
        <v>2096</v>
      </c>
      <c r="J347" s="7" t="s">
        <v>2097</v>
      </c>
      <c r="K347" s="7" t="s">
        <v>2098</v>
      </c>
      <c r="L347" s="17"/>
      <c r="M347" s="18">
        <v>1.0E7</v>
      </c>
      <c r="N347" s="3">
        <f>STANDARDIZE(M347,Profiling!$C$2, Profiling!$B$2)</f>
        <v>-0.7900916679</v>
      </c>
      <c r="O347" s="18">
        <v>6.42E7</v>
      </c>
      <c r="P347" s="3">
        <f>STANDARDIZE(O347,Profiling!$C$3, Profiling!$B$3)</f>
        <v>-0.4790209461</v>
      </c>
      <c r="Q347" s="3"/>
      <c r="R347" s="3"/>
    </row>
    <row r="348">
      <c r="A348" s="11" t="s">
        <v>2099</v>
      </c>
      <c r="B348" s="20">
        <v>41502.0</v>
      </c>
      <c r="C348" s="13" t="s">
        <v>2100</v>
      </c>
      <c r="D348" s="11" t="s">
        <v>20</v>
      </c>
      <c r="E348" s="11" t="s">
        <v>24</v>
      </c>
      <c r="F348" s="15" t="s">
        <v>2101</v>
      </c>
      <c r="G348" s="16"/>
      <c r="H348" s="7" t="s">
        <v>1936</v>
      </c>
      <c r="I348" s="7" t="s">
        <v>2102</v>
      </c>
      <c r="J348" s="7" t="s">
        <v>156</v>
      </c>
      <c r="K348" s="7" t="s">
        <v>177</v>
      </c>
      <c r="L348" s="7" t="s">
        <v>701</v>
      </c>
      <c r="M348" s="18">
        <v>3.0E7</v>
      </c>
      <c r="N348" s="3">
        <f>STANDARDIZE(M348,Profiling!$C$2, Profiling!$B$2)</f>
        <v>-0.3835759695</v>
      </c>
      <c r="O348" s="18">
        <v>1.766E8</v>
      </c>
      <c r="P348" s="3">
        <f>STANDARDIZE(O348,Profiling!$C$3, Profiling!$B$3)</f>
        <v>0.1343304586</v>
      </c>
      <c r="Q348" s="3"/>
      <c r="R348" s="3"/>
    </row>
    <row r="349">
      <c r="A349" s="11" t="s">
        <v>2103</v>
      </c>
      <c r="B349" s="20">
        <v>41012.0</v>
      </c>
      <c r="C349" s="13" t="s">
        <v>2104</v>
      </c>
      <c r="D349" s="11" t="s">
        <v>18</v>
      </c>
      <c r="E349" s="11" t="s">
        <v>17</v>
      </c>
      <c r="F349" s="15" t="s">
        <v>2105</v>
      </c>
      <c r="G349" s="16"/>
      <c r="H349" s="7" t="s">
        <v>1112</v>
      </c>
      <c r="I349" s="7" t="s">
        <v>2106</v>
      </c>
      <c r="J349" s="7" t="s">
        <v>2107</v>
      </c>
      <c r="K349" s="7" t="s">
        <v>389</v>
      </c>
      <c r="L349" s="7" t="s">
        <v>2108</v>
      </c>
      <c r="M349" s="18">
        <v>3.0E7</v>
      </c>
      <c r="N349" s="3">
        <f>STANDARDIZE(M349,Profiling!$C$2, Profiling!$B$2)</f>
        <v>-0.3835759695</v>
      </c>
      <c r="O349" s="18">
        <v>6.65E7</v>
      </c>
      <c r="P349" s="3">
        <f>STANDARDIZE(O349,Profiling!$C$3, Profiling!$B$3)</f>
        <v>-0.4664701611</v>
      </c>
      <c r="Q349" s="3"/>
      <c r="R349" s="3"/>
    </row>
    <row r="350">
      <c r="A350" s="11" t="s">
        <v>2109</v>
      </c>
      <c r="B350" s="20">
        <v>41348.0</v>
      </c>
      <c r="C350" s="13" t="s">
        <v>2110</v>
      </c>
      <c r="D350" s="11" t="s">
        <v>16</v>
      </c>
      <c r="E350" s="17"/>
      <c r="F350" s="15" t="s">
        <v>2111</v>
      </c>
      <c r="G350" s="16"/>
      <c r="H350" s="7" t="s">
        <v>2112</v>
      </c>
      <c r="I350" s="7" t="s">
        <v>2113</v>
      </c>
      <c r="J350" s="7" t="s">
        <v>2114</v>
      </c>
      <c r="K350" s="7" t="s">
        <v>2115</v>
      </c>
      <c r="L350" s="7" t="s">
        <v>2116</v>
      </c>
      <c r="M350" s="18">
        <v>1.3E7</v>
      </c>
      <c r="N350" s="3">
        <f>STANDARDIZE(M350,Profiling!$C$2, Profiling!$B$2)</f>
        <v>-0.7291143131</v>
      </c>
      <c r="O350" s="18">
        <v>6.86E7</v>
      </c>
      <c r="P350" s="3">
        <f>STANDARDIZE(O350,Profiling!$C$3, Profiling!$B$3)</f>
        <v>-0.4550107488</v>
      </c>
      <c r="Q350" s="3"/>
      <c r="R350" s="3"/>
    </row>
    <row r="351">
      <c r="A351" s="11" t="s">
        <v>2117</v>
      </c>
      <c r="B351" s="20">
        <v>41131.0</v>
      </c>
      <c r="C351" s="13" t="s">
        <v>2118</v>
      </c>
      <c r="D351" s="11" t="s">
        <v>17</v>
      </c>
      <c r="E351" s="17"/>
      <c r="F351" s="15" t="s">
        <v>2119</v>
      </c>
      <c r="G351" s="16"/>
      <c r="H351" s="7" t="s">
        <v>574</v>
      </c>
      <c r="I351" s="7" t="s">
        <v>2120</v>
      </c>
      <c r="J351" s="7" t="s">
        <v>767</v>
      </c>
      <c r="K351" s="7" t="s">
        <v>2121</v>
      </c>
      <c r="L351" s="7" t="s">
        <v>1523</v>
      </c>
      <c r="M351" s="18">
        <v>9.5E7</v>
      </c>
      <c r="N351" s="3">
        <f>STANDARDIZE(M351,Profiling!$C$2, Profiling!$B$2)</f>
        <v>0.9376000502</v>
      </c>
      <c r="O351" s="18">
        <v>1.049E8</v>
      </c>
      <c r="P351" s="3">
        <f>STANDARDIZE(O351,Profiling!$C$3, Profiling!$B$3)</f>
        <v>-0.2569266207</v>
      </c>
      <c r="Q351" s="3"/>
      <c r="R351" s="3"/>
    </row>
    <row r="352">
      <c r="A352" s="11" t="s">
        <v>2122</v>
      </c>
      <c r="B352" s="20">
        <v>41159.0</v>
      </c>
      <c r="C352" s="13" t="s">
        <v>2123</v>
      </c>
      <c r="D352" s="11" t="s">
        <v>15</v>
      </c>
      <c r="E352" s="11" t="s">
        <v>19</v>
      </c>
      <c r="F352" s="15" t="s">
        <v>2124</v>
      </c>
      <c r="G352" s="16"/>
      <c r="H352" s="7" t="s">
        <v>315</v>
      </c>
      <c r="I352" s="7" t="s">
        <v>126</v>
      </c>
      <c r="J352" s="7" t="s">
        <v>2125</v>
      </c>
      <c r="K352" s="7" t="s">
        <v>2126</v>
      </c>
      <c r="L352" s="7" t="s">
        <v>2127</v>
      </c>
      <c r="M352" s="18">
        <v>2.0E7</v>
      </c>
      <c r="N352" s="3">
        <f>STANDARDIZE(M352,Profiling!$C$2, Profiling!$B$2)</f>
        <v>-0.5868338187</v>
      </c>
      <c r="O352" s="18">
        <v>1.69E7</v>
      </c>
      <c r="P352" s="3">
        <f>STANDARDIZE(O352,Profiling!$C$3, Profiling!$B$3)</f>
        <v>-0.7371305675</v>
      </c>
      <c r="Q352" s="3"/>
      <c r="R352" s="3"/>
    </row>
    <row r="353">
      <c r="A353" s="11" t="s">
        <v>2128</v>
      </c>
      <c r="B353" s="20">
        <v>41243.0</v>
      </c>
      <c r="C353" s="13" t="s">
        <v>2129</v>
      </c>
      <c r="D353" s="11" t="s">
        <v>18</v>
      </c>
      <c r="E353" s="17"/>
      <c r="F353" s="15" t="s">
        <v>2130</v>
      </c>
      <c r="G353" s="16"/>
      <c r="H353" s="7" t="s">
        <v>2131</v>
      </c>
      <c r="I353" s="7" t="s">
        <v>2132</v>
      </c>
      <c r="J353" s="17"/>
      <c r="K353" s="17"/>
      <c r="L353" s="17"/>
      <c r="M353" s="18">
        <v>1.0E7</v>
      </c>
      <c r="N353" s="3">
        <f>STANDARDIZE(M353,Profiling!$C$2, Profiling!$B$2)</f>
        <v>-0.7900916679</v>
      </c>
      <c r="O353" s="18">
        <v>8900000.0</v>
      </c>
      <c r="P353" s="3">
        <f>STANDARDIZE(O353,Profiling!$C$3, Profiling!$B$3)</f>
        <v>-0.7807854717</v>
      </c>
      <c r="Q353" s="3"/>
      <c r="R353" s="3"/>
    </row>
    <row r="354">
      <c r="A354" s="11" t="s">
        <v>2133</v>
      </c>
      <c r="B354" s="20">
        <v>41474.0</v>
      </c>
      <c r="C354" s="13" t="s">
        <v>2134</v>
      </c>
      <c r="D354" s="11" t="s">
        <v>19</v>
      </c>
      <c r="E354" s="11" t="s">
        <v>18</v>
      </c>
      <c r="F354" s="15" t="s">
        <v>1076</v>
      </c>
      <c r="G354" s="16"/>
      <c r="H354" s="7" t="s">
        <v>1077</v>
      </c>
      <c r="I354" s="7" t="s">
        <v>2135</v>
      </c>
      <c r="J354" s="7" t="s">
        <v>2136</v>
      </c>
      <c r="K354" s="7" t="s">
        <v>2137</v>
      </c>
      <c r="L354" s="7" t="s">
        <v>2138</v>
      </c>
      <c r="M354" s="18">
        <v>2.0E7</v>
      </c>
      <c r="N354" s="3">
        <f>STANDARDIZE(M354,Profiling!$C$2, Profiling!$B$2)</f>
        <v>-0.5868338187</v>
      </c>
      <c r="O354" s="18">
        <v>3.18E8</v>
      </c>
      <c r="P354" s="3">
        <f>STANDARDIZE(O354,Profiling!$C$3, Profiling!$B$3)</f>
        <v>0.9059308912</v>
      </c>
      <c r="Q354" s="3"/>
      <c r="R354" s="3"/>
    </row>
    <row r="355">
      <c r="A355" s="11" t="s">
        <v>2139</v>
      </c>
      <c r="B355" s="20">
        <v>42528.0</v>
      </c>
      <c r="C355" s="13" t="s">
        <v>2140</v>
      </c>
      <c r="D355" s="11" t="s">
        <v>18</v>
      </c>
      <c r="E355" s="17"/>
      <c r="F355" s="15" t="s">
        <v>1076</v>
      </c>
      <c r="G355" s="16"/>
      <c r="H355" s="7" t="s">
        <v>1077</v>
      </c>
      <c r="I355" s="7" t="s">
        <v>2135</v>
      </c>
      <c r="J355" s="17"/>
      <c r="K355" s="17"/>
      <c r="L355" s="17"/>
      <c r="M355" s="18">
        <v>4.0E7</v>
      </c>
      <c r="N355" s="3">
        <f>STANDARDIZE(M355,Profiling!$C$2, Profiling!$B$2)</f>
        <v>-0.1803181203</v>
      </c>
      <c r="O355" s="18">
        <v>3.195E8</v>
      </c>
      <c r="P355" s="3">
        <f>STANDARDIZE(O355,Profiling!$C$3, Profiling!$B$3)</f>
        <v>0.9141161857</v>
      </c>
      <c r="Q355" s="3"/>
      <c r="R355" s="3"/>
    </row>
    <row r="356">
      <c r="A356" s="11" t="s">
        <v>2141</v>
      </c>
      <c r="B356" s="20">
        <v>41355.0</v>
      </c>
      <c r="C356" s="13" t="s">
        <v>2142</v>
      </c>
      <c r="D356" s="11" t="s">
        <v>10</v>
      </c>
      <c r="E356" s="11" t="s">
        <v>17</v>
      </c>
      <c r="F356" s="15" t="s">
        <v>2143</v>
      </c>
      <c r="G356" s="15" t="s">
        <v>2144</v>
      </c>
      <c r="H356" s="7" t="s">
        <v>884</v>
      </c>
      <c r="I356" s="7" t="s">
        <v>607</v>
      </c>
      <c r="J356" s="7" t="s">
        <v>221</v>
      </c>
      <c r="K356" s="7" t="s">
        <v>752</v>
      </c>
      <c r="L356" s="7" t="s">
        <v>172</v>
      </c>
      <c r="M356" s="18">
        <v>1.35E8</v>
      </c>
      <c r="N356" s="3">
        <f>STANDARDIZE(M356,Profiling!$C$2, Profiling!$B$2)</f>
        <v>1.750631447</v>
      </c>
      <c r="O356" s="18">
        <v>5.872E8</v>
      </c>
      <c r="P356" s="3">
        <f>STANDARDIZE(O356,Profiling!$C$3, Profiling!$B$3)</f>
        <v>2.374918419</v>
      </c>
      <c r="Q356" s="3"/>
      <c r="R356" s="3"/>
    </row>
    <row r="357">
      <c r="A357" s="11" t="s">
        <v>2145</v>
      </c>
      <c r="B357" s="20">
        <v>42252.0</v>
      </c>
      <c r="C357" s="13" t="s">
        <v>2146</v>
      </c>
      <c r="D357" s="11" t="s">
        <v>20</v>
      </c>
      <c r="E357" s="17"/>
      <c r="F357" s="15" t="s">
        <v>1232</v>
      </c>
      <c r="G357" s="16"/>
      <c r="H357" s="7" t="s">
        <v>1234</v>
      </c>
      <c r="I357" s="7" t="s">
        <v>786</v>
      </c>
      <c r="J357" s="7" t="s">
        <v>2147</v>
      </c>
      <c r="K357" s="7" t="s">
        <v>536</v>
      </c>
      <c r="L357" s="17"/>
      <c r="M357" s="18">
        <v>1.5E7</v>
      </c>
      <c r="N357" s="3">
        <f>STANDARDIZE(M357,Profiling!$C$2, Profiling!$B$2)</f>
        <v>-0.6884627433</v>
      </c>
      <c r="O357" s="18">
        <v>6.42E7</v>
      </c>
      <c r="P357" s="3">
        <f>STANDARDIZE(O357,Profiling!$C$3, Profiling!$B$3)</f>
        <v>-0.4790209461</v>
      </c>
      <c r="Q357" s="3"/>
      <c r="R357" s="3"/>
    </row>
    <row r="358">
      <c r="A358" s="11" t="s">
        <v>2148</v>
      </c>
      <c r="B358" s="20">
        <v>42503.0</v>
      </c>
      <c r="C358" s="13" t="s">
        <v>2149</v>
      </c>
      <c r="D358" s="11" t="s">
        <v>18</v>
      </c>
      <c r="E358" s="17"/>
      <c r="F358" s="15" t="s">
        <v>2150</v>
      </c>
      <c r="G358" s="16"/>
      <c r="H358" s="7" t="s">
        <v>1709</v>
      </c>
      <c r="I358" s="7" t="s">
        <v>1891</v>
      </c>
      <c r="J358" s="7" t="s">
        <v>2151</v>
      </c>
      <c r="K358" s="7" t="s">
        <v>2152</v>
      </c>
      <c r="L358" s="7" t="s">
        <v>2153</v>
      </c>
      <c r="M358" s="18">
        <v>4000000.0</v>
      </c>
      <c r="N358" s="3">
        <f>STANDARDIZE(M358,Profiling!$C$2, Profiling!$B$2)</f>
        <v>-0.9120463774</v>
      </c>
      <c r="O358" s="18">
        <v>1.09E7</v>
      </c>
      <c r="P358" s="3">
        <f>STANDARDIZE(O358,Profiling!$C$3, Profiling!$B$3)</f>
        <v>-0.7698717456</v>
      </c>
      <c r="Q358" s="3"/>
      <c r="R358" s="3"/>
    </row>
    <row r="359">
      <c r="A359" s="11" t="s">
        <v>2154</v>
      </c>
      <c r="B359" s="20">
        <v>40914.0</v>
      </c>
      <c r="C359" s="13" t="s">
        <v>2155</v>
      </c>
      <c r="D359" s="11" t="s">
        <v>18</v>
      </c>
      <c r="E359" s="11" t="s">
        <v>20</v>
      </c>
      <c r="F359" s="15" t="s">
        <v>2094</v>
      </c>
      <c r="G359" s="16"/>
      <c r="H359" s="7" t="s">
        <v>2156</v>
      </c>
      <c r="I359" s="7" t="s">
        <v>2157</v>
      </c>
      <c r="J359" s="7" t="s">
        <v>2158</v>
      </c>
      <c r="K359" s="7" t="s">
        <v>2159</v>
      </c>
      <c r="L359" s="17"/>
      <c r="M359" s="18">
        <v>1000000.0</v>
      </c>
      <c r="N359" s="3">
        <f>STANDARDIZE(M359,Profiling!$C$2, Profiling!$B$2)</f>
        <v>-0.9730237321</v>
      </c>
      <c r="O359" s="18">
        <v>1.018E8</v>
      </c>
      <c r="P359" s="3">
        <f>STANDARDIZE(O359,Profiling!$C$3, Profiling!$B$3)</f>
        <v>-0.2738428961</v>
      </c>
      <c r="Q359" s="3"/>
      <c r="R359" s="3"/>
    </row>
    <row r="360">
      <c r="A360" s="11" t="s">
        <v>2160</v>
      </c>
      <c r="B360" s="20">
        <v>41045.0</v>
      </c>
      <c r="C360" s="13" t="s">
        <v>2161</v>
      </c>
      <c r="D360" s="11" t="s">
        <v>17</v>
      </c>
      <c r="E360" s="11"/>
      <c r="F360" s="15" t="s">
        <v>2162</v>
      </c>
      <c r="G360" s="16"/>
      <c r="H360" s="7" t="s">
        <v>1306</v>
      </c>
      <c r="I360" s="7" t="s">
        <v>1863</v>
      </c>
      <c r="J360" s="7" t="s">
        <v>541</v>
      </c>
      <c r="K360" s="7" t="s">
        <v>2008</v>
      </c>
      <c r="L360" s="7" t="s">
        <v>2163</v>
      </c>
      <c r="M360" s="18">
        <v>6.5E7</v>
      </c>
      <c r="N360" s="3">
        <f>STANDARDIZE(M360,Profiling!$C$2, Profiling!$B$2)</f>
        <v>0.3278265027</v>
      </c>
      <c r="O360" s="18">
        <v>1.794E8</v>
      </c>
      <c r="P360" s="3">
        <f>STANDARDIZE(O360,Profiling!$C$3, Profiling!$B$3)</f>
        <v>0.1496096751</v>
      </c>
      <c r="Q360" s="3"/>
      <c r="R360" s="3"/>
    </row>
    <row r="361">
      <c r="A361" s="11" t="s">
        <v>2164</v>
      </c>
      <c r="B361" s="20">
        <v>42447.0</v>
      </c>
      <c r="C361" s="13" t="s">
        <v>2165</v>
      </c>
      <c r="D361" s="11" t="s">
        <v>10</v>
      </c>
      <c r="E361" s="11" t="s">
        <v>15</v>
      </c>
      <c r="F361" s="15" t="s">
        <v>1707</v>
      </c>
      <c r="G361" s="16"/>
      <c r="H361" s="7" t="s">
        <v>652</v>
      </c>
      <c r="I361" s="7" t="s">
        <v>654</v>
      </c>
      <c r="J361" s="7" t="s">
        <v>1948</v>
      </c>
      <c r="K361" s="7" t="s">
        <v>709</v>
      </c>
      <c r="L361" s="7" t="s">
        <v>655</v>
      </c>
      <c r="M361" s="18">
        <v>1.1E8</v>
      </c>
      <c r="N361" s="3">
        <f>STANDARDIZE(M361,Profiling!$C$2, Profiling!$B$2)</f>
        <v>1.242486824</v>
      </c>
      <c r="O361" s="18">
        <v>1.792E8</v>
      </c>
      <c r="P361" s="3">
        <f>STANDARDIZE(O361,Profiling!$C$3, Profiling!$B$3)</f>
        <v>0.1485183025</v>
      </c>
      <c r="Q361" s="3"/>
      <c r="R361" s="3"/>
    </row>
    <row r="362">
      <c r="A362" s="11" t="s">
        <v>2166</v>
      </c>
      <c r="B362" s="20">
        <v>42082.0</v>
      </c>
      <c r="C362" s="13" t="s">
        <v>2167</v>
      </c>
      <c r="D362" s="11" t="s">
        <v>14</v>
      </c>
      <c r="E362" s="11" t="s">
        <v>15</v>
      </c>
      <c r="F362" s="15" t="s">
        <v>1707</v>
      </c>
      <c r="G362" s="16"/>
      <c r="H362" s="7" t="s">
        <v>652</v>
      </c>
      <c r="I362" s="7" t="s">
        <v>653</v>
      </c>
      <c r="J362" s="7" t="s">
        <v>654</v>
      </c>
      <c r="K362" s="7" t="s">
        <v>655</v>
      </c>
      <c r="L362" s="7" t="s">
        <v>1948</v>
      </c>
      <c r="M362" s="18">
        <v>1.1E8</v>
      </c>
      <c r="N362" s="3">
        <f>STANDARDIZE(M362,Profiling!$C$2, Profiling!$B$2)</f>
        <v>1.242486824</v>
      </c>
      <c r="O362" s="18">
        <v>2.973E8</v>
      </c>
      <c r="P362" s="3">
        <f>STANDARDIZE(O362,Profiling!$C$3, Profiling!$B$3)</f>
        <v>0.7929738264</v>
      </c>
      <c r="Q362" s="3"/>
      <c r="R362" s="3"/>
    </row>
    <row r="363">
      <c r="A363" s="11" t="s">
        <v>2168</v>
      </c>
      <c r="B363" s="20">
        <v>41894.0</v>
      </c>
      <c r="C363" s="13" t="s">
        <v>2169</v>
      </c>
      <c r="D363" s="11" t="s">
        <v>20</v>
      </c>
      <c r="E363" s="17"/>
      <c r="F363" s="15" t="s">
        <v>2170</v>
      </c>
      <c r="G363" s="16"/>
      <c r="H363" s="7" t="s">
        <v>518</v>
      </c>
      <c r="I363" s="7" t="s">
        <v>521</v>
      </c>
      <c r="J363" s="7" t="s">
        <v>750</v>
      </c>
      <c r="K363" s="7" t="s">
        <v>2147</v>
      </c>
      <c r="L363" s="7" t="s">
        <v>390</v>
      </c>
      <c r="M363" s="18">
        <v>1.26E7</v>
      </c>
      <c r="N363" s="3">
        <f>STANDARDIZE(M363,Profiling!$C$2, Profiling!$B$2)</f>
        <v>-0.7372446271</v>
      </c>
      <c r="O363" s="18">
        <v>1.87E7</v>
      </c>
      <c r="P363" s="3">
        <f>STANDARDIZE(O363,Profiling!$C$3, Profiling!$B$3)</f>
        <v>-0.727308214</v>
      </c>
      <c r="Q363" s="3"/>
      <c r="R363" s="3"/>
    </row>
    <row r="364">
      <c r="A364" s="11" t="s">
        <v>2171</v>
      </c>
      <c r="B364" s="20">
        <v>42047.0</v>
      </c>
      <c r="C364" s="13" t="s">
        <v>2172</v>
      </c>
      <c r="D364" s="11" t="s">
        <v>17</v>
      </c>
      <c r="E364" s="17"/>
      <c r="F364" s="15" t="s">
        <v>2173</v>
      </c>
      <c r="G364" s="16"/>
      <c r="H364" s="7" t="s">
        <v>2174</v>
      </c>
      <c r="I364" s="7" t="s">
        <v>1476</v>
      </c>
      <c r="J364" s="7" t="s">
        <v>231</v>
      </c>
      <c r="K364" s="7" t="s">
        <v>2175</v>
      </c>
      <c r="L364" s="7" t="s">
        <v>173</v>
      </c>
      <c r="M364" s="18">
        <v>8500000.0</v>
      </c>
      <c r="N364" s="3">
        <f>STANDARDIZE(M364,Profiling!$C$2, Profiling!$B$2)</f>
        <v>-0.8205803453</v>
      </c>
      <c r="O364" s="18">
        <v>4.35E7</v>
      </c>
      <c r="P364" s="3">
        <f>STANDARDIZE(O364,Profiling!$C$3, Profiling!$B$3)</f>
        <v>-0.5919780108</v>
      </c>
      <c r="Q364" s="3"/>
      <c r="R364" s="3"/>
    </row>
    <row r="365">
      <c r="A365" s="11" t="s">
        <v>2176</v>
      </c>
      <c r="B365" s="20">
        <v>41425.0</v>
      </c>
      <c r="C365" s="13" t="s">
        <v>2177</v>
      </c>
      <c r="D365" s="11" t="s">
        <v>25</v>
      </c>
      <c r="E365" s="17"/>
      <c r="F365" s="15" t="s">
        <v>2178</v>
      </c>
      <c r="G365" s="16"/>
      <c r="H365" s="7" t="s">
        <v>2179</v>
      </c>
      <c r="I365" s="7" t="s">
        <v>2180</v>
      </c>
      <c r="J365" s="7" t="s">
        <v>2181</v>
      </c>
      <c r="K365" s="7" t="s">
        <v>2182</v>
      </c>
      <c r="L365" s="7" t="s">
        <v>1339</v>
      </c>
      <c r="M365" s="18">
        <v>6500000.0</v>
      </c>
      <c r="N365" s="3">
        <f>STANDARDIZE(M365,Profiling!$C$2, Profiling!$B$2)</f>
        <v>-0.8612319151</v>
      </c>
      <c r="O365" s="18">
        <v>2400000.0</v>
      </c>
      <c r="P365" s="3">
        <f>STANDARDIZE(O365,Profiling!$C$3, Profiling!$B$3)</f>
        <v>-0.8162550814</v>
      </c>
      <c r="Q365" s="3"/>
      <c r="R365" s="3"/>
    </row>
    <row r="366">
      <c r="A366" s="11" t="s">
        <v>2183</v>
      </c>
      <c r="B366" s="20">
        <v>41889.0</v>
      </c>
      <c r="C366" s="13" t="s">
        <v>2184</v>
      </c>
      <c r="D366" s="11" t="s">
        <v>19</v>
      </c>
      <c r="E366" s="17"/>
      <c r="F366" s="15" t="s">
        <v>1521</v>
      </c>
      <c r="G366" s="16"/>
      <c r="H366" s="7" t="s">
        <v>77</v>
      </c>
      <c r="I366" s="7" t="s">
        <v>1056</v>
      </c>
      <c r="J366" s="7" t="s">
        <v>2185</v>
      </c>
      <c r="K366" s="7" t="s">
        <v>2186</v>
      </c>
      <c r="L366" s="7" t="s">
        <v>1070</v>
      </c>
      <c r="M366" s="18">
        <v>5.5E7</v>
      </c>
      <c r="N366" s="3">
        <f>STANDARDIZE(M366,Profiling!$C$2, Profiling!$B$2)</f>
        <v>0.1245686535</v>
      </c>
      <c r="O366" s="18">
        <v>1.923E8</v>
      </c>
      <c r="P366" s="3">
        <f>STANDARDIZE(O366,Profiling!$C$3, Profiling!$B$3)</f>
        <v>0.2200032082</v>
      </c>
      <c r="Q366" s="3"/>
      <c r="R366" s="3"/>
    </row>
    <row r="367">
      <c r="A367" s="11" t="s">
        <v>2187</v>
      </c>
      <c r="B367" s="20">
        <v>41138.0</v>
      </c>
      <c r="C367" s="13" t="s">
        <v>2188</v>
      </c>
      <c r="D367" s="11" t="s">
        <v>15</v>
      </c>
      <c r="E367" s="17"/>
      <c r="F367" s="15" t="s">
        <v>2189</v>
      </c>
      <c r="G367" s="16"/>
      <c r="H367" s="7" t="s">
        <v>438</v>
      </c>
      <c r="I367" s="7" t="s">
        <v>1357</v>
      </c>
      <c r="J367" s="7" t="s">
        <v>2190</v>
      </c>
      <c r="K367" s="7" t="s">
        <v>399</v>
      </c>
      <c r="L367" s="7" t="s">
        <v>2191</v>
      </c>
      <c r="M367" s="18">
        <v>1.0E8</v>
      </c>
      <c r="N367" s="3">
        <f>STANDARDIZE(M367,Profiling!$C$2, Profiling!$B$2)</f>
        <v>1.039228975</v>
      </c>
      <c r="O367" s="18">
        <v>3.054E8</v>
      </c>
      <c r="P367" s="3">
        <f>STANDARDIZE(O367,Profiling!$C$3, Profiling!$B$3)</f>
        <v>0.837174417</v>
      </c>
      <c r="Q367" s="3"/>
      <c r="R367" s="3"/>
    </row>
    <row r="368">
      <c r="A368" s="11" t="s">
        <v>2192</v>
      </c>
      <c r="B368" s="20">
        <v>41855.0</v>
      </c>
      <c r="C368" s="13" t="s">
        <v>2193</v>
      </c>
      <c r="D368" s="11" t="s">
        <v>15</v>
      </c>
      <c r="E368" s="17"/>
      <c r="F368" s="15" t="s">
        <v>2194</v>
      </c>
      <c r="G368" s="16"/>
      <c r="H368" s="7" t="s">
        <v>438</v>
      </c>
      <c r="I368" s="7" t="s">
        <v>1832</v>
      </c>
      <c r="J368" s="7" t="s">
        <v>104</v>
      </c>
      <c r="K368" s="7" t="s">
        <v>2195</v>
      </c>
      <c r="L368" s="7" t="s">
        <v>1357</v>
      </c>
      <c r="M368" s="18">
        <v>9.0E7</v>
      </c>
      <c r="N368" s="3">
        <f>STANDARDIZE(M368,Profiling!$C$2, Profiling!$B$2)</f>
        <v>0.8359711256</v>
      </c>
      <c r="O368" s="18">
        <v>2.062E8</v>
      </c>
      <c r="P368" s="3">
        <f>STANDARDIZE(O368,Profiling!$C$3, Profiling!$B$3)</f>
        <v>0.2958536043</v>
      </c>
      <c r="Q368" s="3"/>
      <c r="R368" s="3"/>
    </row>
    <row r="369">
      <c r="A369" s="11" t="s">
        <v>2196</v>
      </c>
      <c r="B369" s="20">
        <v>41530.0</v>
      </c>
      <c r="C369" s="13" t="s">
        <v>2197</v>
      </c>
      <c r="D369" s="11" t="s">
        <v>25</v>
      </c>
      <c r="E369" s="17"/>
      <c r="F369" s="15" t="s">
        <v>1294</v>
      </c>
      <c r="G369" s="16"/>
      <c r="H369" s="7" t="s">
        <v>956</v>
      </c>
      <c r="I369" s="7" t="s">
        <v>585</v>
      </c>
      <c r="J369" s="7" t="s">
        <v>2198</v>
      </c>
      <c r="K369" s="7" t="s">
        <v>560</v>
      </c>
      <c r="L369" s="7" t="s">
        <v>2199</v>
      </c>
      <c r="M369" s="18">
        <v>3.0E7</v>
      </c>
      <c r="N369" s="3">
        <f>STANDARDIZE(M369,Profiling!$C$2, Profiling!$B$2)</f>
        <v>-0.3835759695</v>
      </c>
      <c r="O369" s="18">
        <v>7.84E7</v>
      </c>
      <c r="P369" s="3">
        <f>STANDARDIZE(O369,Profiling!$C$3, Profiling!$B$3)</f>
        <v>-0.401533491</v>
      </c>
      <c r="Q369" s="3"/>
      <c r="R369" s="3"/>
    </row>
    <row r="370">
      <c r="A370" s="11" t="s">
        <v>2200</v>
      </c>
      <c r="B370" s="20">
        <v>41775.0</v>
      </c>
      <c r="C370" s="13" t="s">
        <v>2201</v>
      </c>
      <c r="D370" s="11" t="s">
        <v>20</v>
      </c>
      <c r="E370" s="17"/>
      <c r="F370" s="15" t="s">
        <v>2202</v>
      </c>
      <c r="G370" s="16"/>
      <c r="H370" s="7" t="s">
        <v>652</v>
      </c>
      <c r="I370" s="7" t="s">
        <v>655</v>
      </c>
      <c r="J370" s="17"/>
      <c r="K370" s="17"/>
      <c r="L370" s="17"/>
      <c r="M370" s="18">
        <v>1.3E7</v>
      </c>
      <c r="N370" s="3">
        <f>STANDARDIZE(M370,Profiling!$C$2, Profiling!$B$2)</f>
        <v>-0.7291143131</v>
      </c>
      <c r="O370" s="18">
        <v>3.072E8</v>
      </c>
      <c r="P370" s="3">
        <f>STANDARDIZE(O370,Profiling!$C$3, Profiling!$B$3)</f>
        <v>0.8469967705</v>
      </c>
      <c r="Q370" s="3"/>
      <c r="R370" s="3"/>
    </row>
    <row r="371">
      <c r="A371" s="11" t="s">
        <v>2203</v>
      </c>
      <c r="B371" s="20">
        <v>41026.0</v>
      </c>
      <c r="C371" s="13" t="s">
        <v>2204</v>
      </c>
      <c r="D371" s="11" t="s">
        <v>17</v>
      </c>
      <c r="E371" s="11" t="s">
        <v>22</v>
      </c>
      <c r="F371" s="15" t="s">
        <v>1450</v>
      </c>
      <c r="G371" s="16"/>
      <c r="H371" s="7" t="s">
        <v>1137</v>
      </c>
      <c r="I371" s="7" t="s">
        <v>728</v>
      </c>
      <c r="J371" s="7" t="s">
        <v>2205</v>
      </c>
      <c r="K371" s="7" t="s">
        <v>863</v>
      </c>
      <c r="L371" s="7" t="s">
        <v>2206</v>
      </c>
      <c r="M371" s="18">
        <v>3.0E7</v>
      </c>
      <c r="N371" s="3">
        <f>STANDARDIZE(M371,Profiling!$C$2, Profiling!$B$2)</f>
        <v>-0.3835759695</v>
      </c>
      <c r="O371" s="18">
        <v>5.39E7</v>
      </c>
      <c r="P371" s="3">
        <f>STANDARDIZE(O371,Profiling!$C$3, Profiling!$B$3)</f>
        <v>-0.5352266353</v>
      </c>
      <c r="Q371" s="3"/>
      <c r="R371" s="3"/>
    </row>
    <row r="372">
      <c r="A372" s="11" t="s">
        <v>2207</v>
      </c>
      <c r="B372" s="20">
        <v>42377.0</v>
      </c>
      <c r="C372" s="13" t="s">
        <v>2208</v>
      </c>
      <c r="D372" s="11" t="s">
        <v>18</v>
      </c>
      <c r="E372" s="17"/>
      <c r="F372" s="15" t="s">
        <v>2209</v>
      </c>
      <c r="G372" s="16"/>
      <c r="H372" s="7" t="s">
        <v>2210</v>
      </c>
      <c r="I372" s="7" t="s">
        <v>2211</v>
      </c>
      <c r="J372" s="17"/>
      <c r="K372" s="17"/>
      <c r="L372" s="17"/>
      <c r="M372" s="18">
        <v>1.0E7</v>
      </c>
      <c r="N372" s="3">
        <f>STANDARDIZE(M372,Profiling!$C$2, Profiling!$B$2)</f>
        <v>-0.7900916679</v>
      </c>
      <c r="O372" s="18">
        <v>3.76E7</v>
      </c>
      <c r="P372" s="3">
        <f>STANDARDIZE(O372,Profiling!$C$3, Profiling!$B$3)</f>
        <v>-0.6241735027</v>
      </c>
      <c r="Q372" s="3"/>
      <c r="R372" s="3"/>
    </row>
    <row r="373">
      <c r="A373" s="11" t="s">
        <v>2212</v>
      </c>
      <c r="B373" s="20">
        <v>42215.0</v>
      </c>
      <c r="C373" s="13" t="s">
        <v>2213</v>
      </c>
      <c r="D373" s="11" t="s">
        <v>19</v>
      </c>
      <c r="E373" s="17"/>
      <c r="F373" s="15" t="s">
        <v>383</v>
      </c>
      <c r="G373" s="16"/>
      <c r="H373" s="7" t="s">
        <v>1006</v>
      </c>
      <c r="I373" s="7" t="s">
        <v>2214</v>
      </c>
      <c r="J373" s="7" t="s">
        <v>383</v>
      </c>
      <c r="K373" s="17"/>
      <c r="L373" s="17"/>
      <c r="M373" s="18">
        <v>5000000.0</v>
      </c>
      <c r="N373" s="3">
        <f>STANDARDIZE(M373,Profiling!$C$2, Profiling!$B$2)</f>
        <v>-0.8917205925</v>
      </c>
      <c r="O373" s="18">
        <v>5.9E7</v>
      </c>
      <c r="P373" s="3">
        <f>STANDARDIZE(O373,Profiling!$C$3, Profiling!$B$3)</f>
        <v>-0.5073966339</v>
      </c>
      <c r="Q373" s="3"/>
      <c r="R373" s="3"/>
    </row>
    <row r="374">
      <c r="A374" s="11" t="s">
        <v>2215</v>
      </c>
      <c r="B374" s="20">
        <v>41862.0</v>
      </c>
      <c r="C374" s="13" t="s">
        <v>2216</v>
      </c>
      <c r="D374" s="11" t="s">
        <v>14</v>
      </c>
      <c r="E374" s="17"/>
      <c r="F374" s="15" t="s">
        <v>2217</v>
      </c>
      <c r="G374" s="16"/>
      <c r="H374" s="7" t="s">
        <v>1708</v>
      </c>
      <c r="I374" s="7" t="s">
        <v>912</v>
      </c>
      <c r="J374" s="7" t="s">
        <v>812</v>
      </c>
      <c r="K374" s="7" t="s">
        <v>337</v>
      </c>
      <c r="L374" s="7" t="s">
        <v>2218</v>
      </c>
      <c r="M374" s="18">
        <v>2.5E7</v>
      </c>
      <c r="N374" s="3">
        <f>STANDARDIZE(M374,Profiling!$C$2, Profiling!$B$2)</f>
        <v>-0.4852048941</v>
      </c>
      <c r="O374" s="18">
        <v>6.7E7</v>
      </c>
      <c r="P374" s="3">
        <f>STANDARDIZE(O374,Profiling!$C$3, Profiling!$B$3)</f>
        <v>-0.4637417296</v>
      </c>
      <c r="Q374" s="3"/>
      <c r="R374" s="3"/>
    </row>
    <row r="375">
      <c r="A375" s="11" t="s">
        <v>2219</v>
      </c>
      <c r="B375" s="20">
        <v>41676.0</v>
      </c>
      <c r="C375" s="13" t="s">
        <v>2220</v>
      </c>
      <c r="D375" s="11" t="s">
        <v>17</v>
      </c>
      <c r="E375" s="17"/>
      <c r="F375" s="15" t="s">
        <v>1404</v>
      </c>
      <c r="G375" s="16"/>
      <c r="H375" s="7" t="s">
        <v>952</v>
      </c>
      <c r="I375" s="7" t="s">
        <v>2221</v>
      </c>
      <c r="J375" s="7" t="s">
        <v>2222</v>
      </c>
      <c r="K375" s="7" t="s">
        <v>2223</v>
      </c>
      <c r="L375" s="7" t="s">
        <v>702</v>
      </c>
      <c r="M375" s="18">
        <v>2.3E7</v>
      </c>
      <c r="N375" s="3">
        <f>STANDARDIZE(M375,Profiling!$C$2, Profiling!$B$2)</f>
        <v>-0.5258564639</v>
      </c>
      <c r="O375" s="18">
        <v>1.748E8</v>
      </c>
      <c r="P375" s="3">
        <f>STANDARDIZE(O375,Profiling!$C$3, Profiling!$B$3)</f>
        <v>0.1245081051</v>
      </c>
      <c r="Q375" s="3"/>
      <c r="R375" s="3"/>
    </row>
    <row r="376">
      <c r="A376" s="11" t="s">
        <v>2224</v>
      </c>
      <c r="B376" s="20">
        <v>41404.0</v>
      </c>
      <c r="C376" s="13" t="s">
        <v>2225</v>
      </c>
      <c r="D376" s="11" t="s">
        <v>20</v>
      </c>
      <c r="E376" s="11" t="s">
        <v>22</v>
      </c>
      <c r="F376" s="15" t="s">
        <v>2226</v>
      </c>
      <c r="G376" s="16"/>
      <c r="H376" s="7" t="s">
        <v>660</v>
      </c>
      <c r="I376" s="7" t="s">
        <v>1603</v>
      </c>
      <c r="J376" s="7" t="s">
        <v>383</v>
      </c>
      <c r="K376" s="7" t="s">
        <v>1984</v>
      </c>
      <c r="L376" s="7" t="s">
        <v>1508</v>
      </c>
      <c r="M376" s="18">
        <v>1.05E8</v>
      </c>
      <c r="N376" s="3">
        <f>STANDARDIZE(M376,Profiling!$C$2, Profiling!$B$2)</f>
        <v>1.140857899</v>
      </c>
      <c r="O376" s="18">
        <v>3.51E8</v>
      </c>
      <c r="P376" s="3">
        <f>STANDARDIZE(O376,Profiling!$C$3, Profiling!$B$3)</f>
        <v>1.086007371</v>
      </c>
      <c r="Q376" s="3"/>
      <c r="R376" s="3"/>
    </row>
    <row r="377">
      <c r="A377" s="11" t="s">
        <v>2227</v>
      </c>
      <c r="B377" s="20">
        <v>40935.0</v>
      </c>
      <c r="C377" s="13" t="s">
        <v>2228</v>
      </c>
      <c r="D377" s="11" t="s">
        <v>15</v>
      </c>
      <c r="E377" s="11" t="s">
        <v>20</v>
      </c>
      <c r="F377" s="15" t="s">
        <v>2229</v>
      </c>
      <c r="G377" s="16"/>
      <c r="H377" s="7" t="s">
        <v>177</v>
      </c>
      <c r="I377" s="7" t="s">
        <v>746</v>
      </c>
      <c r="J377" s="7" t="s">
        <v>1083</v>
      </c>
      <c r="K377" s="7" t="s">
        <v>2230</v>
      </c>
      <c r="L377" s="17"/>
      <c r="M377" s="18">
        <v>2.5E7</v>
      </c>
      <c r="N377" s="3">
        <f>STANDARDIZE(M377,Profiling!$C$2, Profiling!$B$2)</f>
        <v>-0.4852048941</v>
      </c>
      <c r="O377" s="18">
        <v>7.73E7</v>
      </c>
      <c r="P377" s="3">
        <f>STANDARDIZE(O377,Profiling!$C$3, Profiling!$B$3)</f>
        <v>-0.4075360404</v>
      </c>
      <c r="Q377" s="3"/>
      <c r="R377" s="3"/>
    </row>
    <row r="378">
      <c r="A378" s="11" t="s">
        <v>2231</v>
      </c>
      <c r="B378" s="20">
        <v>42083.0</v>
      </c>
      <c r="C378" s="13" t="s">
        <v>2232</v>
      </c>
      <c r="D378" s="11" t="s">
        <v>19</v>
      </c>
      <c r="E378" s="17"/>
      <c r="F378" s="15" t="s">
        <v>2233</v>
      </c>
      <c r="G378" s="16"/>
      <c r="H378" s="7" t="s">
        <v>857</v>
      </c>
      <c r="I378" s="7" t="s">
        <v>2234</v>
      </c>
      <c r="J378" s="7" t="s">
        <v>1498</v>
      </c>
      <c r="K378" s="7" t="s">
        <v>885</v>
      </c>
      <c r="L378" s="7" t="s">
        <v>423</v>
      </c>
      <c r="M378" s="18">
        <v>4.0E7</v>
      </c>
      <c r="N378" s="3">
        <f>STANDARDIZE(M378,Profiling!$C$2, Profiling!$B$2)</f>
        <v>-0.1803181203</v>
      </c>
      <c r="O378" s="18">
        <v>2.42E7</v>
      </c>
      <c r="P378" s="3">
        <f>STANDARDIZE(O378,Profiling!$C$3, Profiling!$B$3)</f>
        <v>-0.6972954673</v>
      </c>
      <c r="Q378" s="3"/>
      <c r="R378" s="3"/>
    </row>
    <row r="379">
      <c r="A379" s="11" t="s">
        <v>2235</v>
      </c>
      <c r="B379" s="20">
        <v>41417.0</v>
      </c>
      <c r="C379" s="13" t="s">
        <v>2236</v>
      </c>
      <c r="D379" s="11" t="s">
        <v>17</v>
      </c>
      <c r="E379" s="17"/>
      <c r="F379" s="15" t="s">
        <v>2237</v>
      </c>
      <c r="G379" s="16"/>
      <c r="H379" s="7" t="s">
        <v>220</v>
      </c>
      <c r="I379" s="7" t="s">
        <v>2120</v>
      </c>
      <c r="J379" s="7" t="s">
        <v>682</v>
      </c>
      <c r="K379" s="7" t="s">
        <v>2238</v>
      </c>
      <c r="L379" s="7" t="s">
        <v>1559</v>
      </c>
      <c r="M379" s="18">
        <v>1.03E8</v>
      </c>
      <c r="N379" s="3">
        <f>STANDARDIZE(M379,Profiling!$C$2, Profiling!$B$2)</f>
        <v>1.10020633</v>
      </c>
      <c r="O379" s="18">
        <v>3.62E8</v>
      </c>
      <c r="P379" s="3">
        <f>STANDARDIZE(O379,Profiling!$C$3, Profiling!$B$3)</f>
        <v>1.146032865</v>
      </c>
      <c r="Q379" s="3"/>
      <c r="R379" s="3"/>
    </row>
    <row r="380">
      <c r="A380" s="11" t="s">
        <v>2239</v>
      </c>
      <c r="B380" s="20">
        <v>42363.0</v>
      </c>
      <c r="C380" s="13" t="s">
        <v>2240</v>
      </c>
      <c r="D380" s="25" t="s">
        <v>20</v>
      </c>
      <c r="E380" s="11"/>
      <c r="F380" s="15" t="s">
        <v>659</v>
      </c>
      <c r="G380" s="16"/>
      <c r="H380" s="7" t="s">
        <v>661</v>
      </c>
      <c r="I380" s="7" t="s">
        <v>2241</v>
      </c>
      <c r="J380" s="7" t="s">
        <v>2242</v>
      </c>
      <c r="K380" s="7" t="s">
        <v>2243</v>
      </c>
      <c r="L380" s="7" t="s">
        <v>2244</v>
      </c>
      <c r="M380" s="18">
        <v>4.4E7</v>
      </c>
      <c r="N380" s="3">
        <f>STANDARDIZE(M380,Profiling!$C$2, Profiling!$B$2)</f>
        <v>-0.09901498064</v>
      </c>
      <c r="O380" s="18">
        <v>1.558E8</v>
      </c>
      <c r="P380" s="3">
        <f>STANDARDIZE(O380,Profiling!$C$3, Profiling!$B$3)</f>
        <v>0.02082770755</v>
      </c>
      <c r="Q380" s="3"/>
      <c r="R380" s="3"/>
    </row>
    <row r="381">
      <c r="A381" s="11" t="s">
        <v>2245</v>
      </c>
      <c r="B381" s="20">
        <v>41453.0</v>
      </c>
      <c r="C381" s="13" t="s">
        <v>2246</v>
      </c>
      <c r="D381" s="11" t="s">
        <v>15</v>
      </c>
      <c r="E381" s="11" t="s">
        <v>17</v>
      </c>
      <c r="F381" s="15" t="s">
        <v>891</v>
      </c>
      <c r="G381" s="16"/>
      <c r="H381" s="7" t="s">
        <v>1550</v>
      </c>
      <c r="I381" s="7" t="s">
        <v>892</v>
      </c>
      <c r="J381" s="7" t="s">
        <v>2247</v>
      </c>
      <c r="K381" s="7" t="s">
        <v>228</v>
      </c>
      <c r="L381" s="7" t="s">
        <v>2248</v>
      </c>
      <c r="M381" s="18">
        <v>4.3E7</v>
      </c>
      <c r="N381" s="3">
        <f>STANDARDIZE(M381,Profiling!$C$2, Profiling!$B$2)</f>
        <v>-0.1193407656</v>
      </c>
      <c r="O381" s="18">
        <v>2.299E8</v>
      </c>
      <c r="P381" s="3">
        <f>STANDARDIZE(O381,Profiling!$C$3, Profiling!$B$3)</f>
        <v>0.4251812582</v>
      </c>
      <c r="Q381" s="3"/>
      <c r="R381" s="3"/>
    </row>
    <row r="382">
      <c r="A382" s="11" t="s">
        <v>2249</v>
      </c>
      <c r="B382" s="20">
        <v>41974.0</v>
      </c>
      <c r="C382" s="13" t="s">
        <v>2250</v>
      </c>
      <c r="D382" s="11" t="s">
        <v>10</v>
      </c>
      <c r="E382" s="11" t="s">
        <v>13</v>
      </c>
      <c r="F382" s="15" t="s">
        <v>32</v>
      </c>
      <c r="G382" s="16"/>
      <c r="H382" s="7" t="s">
        <v>2251</v>
      </c>
      <c r="I382" s="7" t="s">
        <v>2252</v>
      </c>
      <c r="J382" s="7" t="s">
        <v>1093</v>
      </c>
      <c r="K382" s="7" t="s">
        <v>281</v>
      </c>
      <c r="L382" s="7" t="s">
        <v>686</v>
      </c>
      <c r="M382" s="18">
        <v>2.5E8</v>
      </c>
      <c r="N382" s="3">
        <f>STANDARDIZE(M382,Profiling!$C$2, Profiling!$B$2)</f>
        <v>4.088096713</v>
      </c>
      <c r="O382" s="18">
        <v>9.56E8</v>
      </c>
      <c r="P382" s="3">
        <f>STANDARDIZE(O382,Profiling!$C$3, Profiling!$B$3)</f>
        <v>4.387409505</v>
      </c>
      <c r="Q382" s="3"/>
      <c r="R382" s="3"/>
    </row>
    <row r="383">
      <c r="A383" s="11" t="s">
        <v>2253</v>
      </c>
      <c r="B383" s="20">
        <v>41362.0</v>
      </c>
      <c r="C383" s="13" t="s">
        <v>2254</v>
      </c>
      <c r="D383" s="11" t="s">
        <v>14</v>
      </c>
      <c r="E383" s="11" t="s">
        <v>22</v>
      </c>
      <c r="F383" s="15" t="s">
        <v>2255</v>
      </c>
      <c r="G383" s="16"/>
      <c r="H383" s="7" t="s">
        <v>430</v>
      </c>
      <c r="I383" s="7" t="s">
        <v>2256</v>
      </c>
      <c r="J383" s="7" t="s">
        <v>2257</v>
      </c>
      <c r="K383" s="7" t="s">
        <v>2258</v>
      </c>
      <c r="L383" s="7" t="s">
        <v>1716</v>
      </c>
      <c r="M383" s="18">
        <v>4.0E7</v>
      </c>
      <c r="N383" s="3">
        <f>STANDARDIZE(M383,Profiling!$C$2, Profiling!$B$2)</f>
        <v>-0.1803181203</v>
      </c>
      <c r="O383" s="18">
        <v>6.33E7</v>
      </c>
      <c r="P383" s="3">
        <f>STANDARDIZE(O383,Profiling!$C$3, Profiling!$B$3)</f>
        <v>-0.4839321228</v>
      </c>
      <c r="Q383" s="3"/>
      <c r="R383" s="3"/>
    </row>
    <row r="384">
      <c r="A384" s="11" t="s">
        <v>2259</v>
      </c>
      <c r="B384" s="20">
        <v>41859.0</v>
      </c>
      <c r="C384" s="13" t="s">
        <v>2260</v>
      </c>
      <c r="D384" s="11" t="s">
        <v>20</v>
      </c>
      <c r="E384" s="17"/>
      <c r="F384" s="15" t="s">
        <v>1840</v>
      </c>
      <c r="G384" s="16"/>
      <c r="H384" s="7" t="s">
        <v>790</v>
      </c>
      <c r="I384" s="7" t="s">
        <v>2261</v>
      </c>
      <c r="J384" s="17"/>
      <c r="K384" s="17"/>
      <c r="L384" s="17"/>
      <c r="M384" s="18">
        <v>2.2E7</v>
      </c>
      <c r="N384" s="3">
        <f>STANDARDIZE(M384,Profiling!$C$2, Profiling!$B$2)</f>
        <v>-0.5461822489</v>
      </c>
      <c r="O384" s="18">
        <v>8.89E7</v>
      </c>
      <c r="P384" s="3">
        <f>STANDARDIZE(O384,Profiling!$C$3, Profiling!$B$3)</f>
        <v>-0.3442364292</v>
      </c>
      <c r="Q384" s="3"/>
      <c r="R384" s="3"/>
    </row>
    <row r="385">
      <c r="A385" s="11" t="s">
        <v>2262</v>
      </c>
      <c r="B385" s="20">
        <v>40991.0</v>
      </c>
      <c r="C385" s="13" t="s">
        <v>2263</v>
      </c>
      <c r="D385" s="11" t="s">
        <v>15</v>
      </c>
      <c r="E385" s="11" t="s">
        <v>14</v>
      </c>
      <c r="F385" s="15" t="s">
        <v>827</v>
      </c>
      <c r="G385" s="16"/>
      <c r="H385" s="7" t="s">
        <v>1175</v>
      </c>
      <c r="I385" s="7" t="s">
        <v>765</v>
      </c>
      <c r="J385" s="7" t="s">
        <v>1072</v>
      </c>
      <c r="K385" s="7" t="s">
        <v>2264</v>
      </c>
      <c r="L385" s="7" t="s">
        <v>1325</v>
      </c>
      <c r="M385" s="18">
        <v>7.8E7</v>
      </c>
      <c r="N385" s="3">
        <f>STANDARDIZE(M385,Profiling!$C$2, Profiling!$B$2)</f>
        <v>0.5920617066</v>
      </c>
      <c r="O385" s="18">
        <v>6.944E8</v>
      </c>
      <c r="P385" s="3">
        <f>STANDARDIZE(O385,Profiling!$C$3, Profiling!$B$3)</f>
        <v>2.959894136</v>
      </c>
      <c r="Q385" s="3"/>
      <c r="R385" s="3"/>
    </row>
    <row r="386">
      <c r="A386" s="11" t="s">
        <v>2265</v>
      </c>
      <c r="B386" s="20">
        <v>41953.0</v>
      </c>
      <c r="C386" s="13" t="s">
        <v>2266</v>
      </c>
      <c r="D386" s="11" t="s">
        <v>14</v>
      </c>
      <c r="E386" s="11" t="s">
        <v>10</v>
      </c>
      <c r="F386" s="15" t="s">
        <v>35</v>
      </c>
      <c r="G386" s="16"/>
      <c r="H386" s="7" t="s">
        <v>1175</v>
      </c>
      <c r="I386" s="7" t="s">
        <v>765</v>
      </c>
      <c r="J386" s="7" t="s">
        <v>1509</v>
      </c>
      <c r="K386" s="7" t="s">
        <v>1502</v>
      </c>
      <c r="L386" s="7" t="s">
        <v>2267</v>
      </c>
      <c r="M386" s="18">
        <v>1.25E8</v>
      </c>
      <c r="N386" s="3">
        <f>STANDARDIZE(M386,Profiling!$C$2, Profiling!$B$2)</f>
        <v>1.547373598</v>
      </c>
      <c r="O386" s="18">
        <v>7.554E8</v>
      </c>
      <c r="P386" s="3">
        <f>STANDARDIZE(O386,Profiling!$C$3, Profiling!$B$3)</f>
        <v>3.292762781</v>
      </c>
      <c r="Q386" s="3"/>
      <c r="R386" s="3"/>
    </row>
    <row r="387">
      <c r="A387" s="11" t="s">
        <v>2268</v>
      </c>
      <c r="B387" s="20">
        <v>42312.0</v>
      </c>
      <c r="C387" s="13" t="s">
        <v>2269</v>
      </c>
      <c r="D387" s="11" t="s">
        <v>14</v>
      </c>
      <c r="E387" s="17"/>
      <c r="F387" s="15" t="s">
        <v>35</v>
      </c>
      <c r="G387" s="16"/>
      <c r="H387" s="7" t="s">
        <v>1175</v>
      </c>
      <c r="I387" s="7" t="s">
        <v>765</v>
      </c>
      <c r="J387" s="7" t="s">
        <v>1072</v>
      </c>
      <c r="K387" s="7" t="s">
        <v>1509</v>
      </c>
      <c r="L387" s="7" t="s">
        <v>1325</v>
      </c>
      <c r="M387" s="18">
        <v>1.6E8</v>
      </c>
      <c r="N387" s="3">
        <f>STANDARDIZE(M387,Profiling!$C$2, Profiling!$B$2)</f>
        <v>2.25877607</v>
      </c>
      <c r="O387" s="18">
        <v>6.534E8</v>
      </c>
      <c r="P387" s="3">
        <f>STANDARDIZE(O387,Profiling!$C$3, Profiling!$B$3)</f>
        <v>2.736162752</v>
      </c>
      <c r="Q387" s="3"/>
      <c r="R387" s="3"/>
    </row>
    <row r="388">
      <c r="A388" s="11" t="s">
        <v>2270</v>
      </c>
      <c r="B388" s="20">
        <v>42482.0</v>
      </c>
      <c r="C388" s="13" t="s">
        <v>2271</v>
      </c>
      <c r="D388" s="11" t="s">
        <v>13</v>
      </c>
      <c r="E388" s="17"/>
      <c r="F388" s="15" t="s">
        <v>2272</v>
      </c>
      <c r="G388" s="16"/>
      <c r="H388" s="7" t="s">
        <v>389</v>
      </c>
      <c r="I388" s="7" t="s">
        <v>1208</v>
      </c>
      <c r="J388" s="7" t="s">
        <v>728</v>
      </c>
      <c r="K388" s="7" t="s">
        <v>154</v>
      </c>
      <c r="L388" s="7" t="s">
        <v>2273</v>
      </c>
      <c r="M388" s="18">
        <v>1.15E8</v>
      </c>
      <c r="N388" s="3">
        <f>STANDARDIZE(M388,Profiling!$C$2, Profiling!$B$2)</f>
        <v>1.344115749</v>
      </c>
      <c r="O388" s="18">
        <v>1.646E8</v>
      </c>
      <c r="P388" s="3">
        <f>STANDARDIZE(O388,Profiling!$C$3, Profiling!$B$3)</f>
        <v>0.06884810223</v>
      </c>
      <c r="Q388" s="3"/>
      <c r="R388" s="3"/>
    </row>
    <row r="389">
      <c r="A389" s="11" t="s">
        <v>2274</v>
      </c>
      <c r="B389" s="20">
        <v>41397.0</v>
      </c>
      <c r="C389" s="13" t="s">
        <v>2275</v>
      </c>
      <c r="D389" s="11" t="s">
        <v>20</v>
      </c>
      <c r="E389" s="11" t="s">
        <v>19</v>
      </c>
      <c r="F389" s="15" t="s">
        <v>558</v>
      </c>
      <c r="G389" s="16"/>
      <c r="H389" s="7" t="s">
        <v>2276</v>
      </c>
      <c r="I389" s="7" t="s">
        <v>1319</v>
      </c>
      <c r="J389" s="7" t="s">
        <v>2277</v>
      </c>
      <c r="K389" s="7" t="s">
        <v>458</v>
      </c>
      <c r="L389" s="7" t="s">
        <v>1189</v>
      </c>
      <c r="M389" s="18">
        <v>1.0E7</v>
      </c>
      <c r="N389" s="3">
        <f>STANDARDIZE(M389,Profiling!$C$2, Profiling!$B$2)</f>
        <v>-0.7900916679</v>
      </c>
      <c r="O389" s="18">
        <v>4400000.0</v>
      </c>
      <c r="P389" s="3">
        <f>STANDARDIZE(O389,Profiling!$C$3, Profiling!$B$3)</f>
        <v>-0.8053413553</v>
      </c>
      <c r="Q389" s="3"/>
      <c r="R389" s="3"/>
    </row>
    <row r="390">
      <c r="A390" s="11" t="s">
        <v>2278</v>
      </c>
      <c r="B390" s="20">
        <v>41746.0</v>
      </c>
      <c r="C390" s="13" t="s">
        <v>2279</v>
      </c>
      <c r="D390" s="25" t="s">
        <v>26</v>
      </c>
      <c r="E390" s="11" t="s">
        <v>21</v>
      </c>
      <c r="F390" s="15" t="s">
        <v>2280</v>
      </c>
      <c r="G390" s="16"/>
      <c r="H390" s="7" t="s">
        <v>1189</v>
      </c>
      <c r="I390" s="7" t="s">
        <v>2281</v>
      </c>
      <c r="J390" s="7" t="s">
        <v>2282</v>
      </c>
      <c r="K390" s="7" t="s">
        <v>806</v>
      </c>
      <c r="L390" s="7" t="s">
        <v>2283</v>
      </c>
      <c r="M390" s="18">
        <v>1.6E7</v>
      </c>
      <c r="N390" s="3">
        <f>STANDARDIZE(M390,Profiling!$C$2, Profiling!$B$2)</f>
        <v>-0.6681369584</v>
      </c>
      <c r="O390" s="18">
        <v>2800000.0</v>
      </c>
      <c r="P390" s="3">
        <f>STANDARDIZE(O390,Profiling!$C$3, Profiling!$B$3)</f>
        <v>-0.8140723362</v>
      </c>
      <c r="Q390" s="3"/>
      <c r="R390" s="3"/>
    </row>
    <row r="391">
      <c r="A391" s="11" t="s">
        <v>2284</v>
      </c>
      <c r="B391" s="20">
        <v>41880.0</v>
      </c>
      <c r="C391" s="13" t="s">
        <v>2285</v>
      </c>
      <c r="D391" s="25" t="s">
        <v>20</v>
      </c>
      <c r="E391" s="11"/>
      <c r="F391" s="15" t="s">
        <v>2286</v>
      </c>
      <c r="G391" s="16"/>
      <c r="H391" s="7" t="s">
        <v>384</v>
      </c>
      <c r="I391" s="7" t="s">
        <v>2287</v>
      </c>
      <c r="J391" s="7" t="s">
        <v>1865</v>
      </c>
      <c r="K391" s="7" t="s">
        <v>2288</v>
      </c>
      <c r="L391" s="7" t="s">
        <v>2289</v>
      </c>
      <c r="M391" s="18">
        <v>1.4E7</v>
      </c>
      <c r="N391" s="3">
        <f>STANDARDIZE(M391,Profiling!$C$2, Profiling!$B$2)</f>
        <v>-0.7087885282</v>
      </c>
      <c r="O391" s="18">
        <v>2.336E8</v>
      </c>
      <c r="P391" s="3">
        <f>STANDARDIZE(O391,Profiling!$C$3, Profiling!$B$3)</f>
        <v>0.4453716514</v>
      </c>
      <c r="Q391" s="3"/>
      <c r="R391" s="3"/>
    </row>
    <row r="392">
      <c r="A392" s="11" t="s">
        <v>2290</v>
      </c>
      <c r="B392" s="20">
        <v>41264.0</v>
      </c>
      <c r="C392" s="13" t="s">
        <v>2291</v>
      </c>
      <c r="D392" s="11" t="s">
        <v>20</v>
      </c>
      <c r="E392" s="17"/>
      <c r="F392" s="15" t="s">
        <v>2292</v>
      </c>
      <c r="G392" s="16"/>
      <c r="H392" s="7" t="s">
        <v>1948</v>
      </c>
      <c r="I392" s="7" t="s">
        <v>1126</v>
      </c>
      <c r="J392" s="17"/>
      <c r="K392" s="17"/>
      <c r="L392" s="17"/>
      <c r="M392" s="18">
        <v>4.5E7</v>
      </c>
      <c r="N392" s="3">
        <f>STANDARDIZE(M392,Profiling!$C$2, Profiling!$B$2)</f>
        <v>-0.07868919572</v>
      </c>
      <c r="O392" s="18">
        <v>1.803E8</v>
      </c>
      <c r="P392" s="3">
        <f>STANDARDIZE(O392,Profiling!$C$3, Profiling!$B$3)</f>
        <v>0.1545208518</v>
      </c>
      <c r="Q392" s="3"/>
      <c r="R392" s="3"/>
    </row>
    <row r="393">
      <c r="A393" s="11" t="s">
        <v>2293</v>
      </c>
      <c r="B393" s="20">
        <v>41348.0</v>
      </c>
      <c r="C393" s="13" t="s">
        <v>2294</v>
      </c>
      <c r="D393" s="11" t="s">
        <v>17</v>
      </c>
      <c r="E393" s="17"/>
      <c r="F393" s="15" t="s">
        <v>2295</v>
      </c>
      <c r="G393" s="16"/>
      <c r="H393" s="7" t="s">
        <v>627</v>
      </c>
      <c r="I393" s="7" t="s">
        <v>708</v>
      </c>
      <c r="J393" s="7" t="s">
        <v>1022</v>
      </c>
      <c r="K393" s="7" t="s">
        <v>1291</v>
      </c>
      <c r="L393" s="7" t="s">
        <v>750</v>
      </c>
      <c r="M393" s="18">
        <v>3.4E7</v>
      </c>
      <c r="N393" s="3">
        <f>STANDARDIZE(M393,Profiling!$C$2, Profiling!$B$2)</f>
        <v>-0.3022728298</v>
      </c>
      <c r="O393" s="18">
        <v>2.74E7</v>
      </c>
      <c r="P393" s="3">
        <f>STANDARDIZE(O393,Profiling!$C$3, Profiling!$B$3)</f>
        <v>-0.6798335056</v>
      </c>
      <c r="Q393" s="3"/>
      <c r="R393" s="3"/>
    </row>
    <row r="394">
      <c r="A394" s="11" t="s">
        <v>2296</v>
      </c>
      <c r="B394" s="20">
        <v>42564.0</v>
      </c>
      <c r="C394" s="13" t="s">
        <v>2297</v>
      </c>
      <c r="D394" s="11" t="s">
        <v>20</v>
      </c>
      <c r="E394" s="11" t="s">
        <v>24</v>
      </c>
      <c r="F394" s="15" t="s">
        <v>1824</v>
      </c>
      <c r="G394" s="16"/>
      <c r="H394" s="7" t="s">
        <v>288</v>
      </c>
      <c r="I394" s="7" t="s">
        <v>2258</v>
      </c>
      <c r="J394" s="7" t="s">
        <v>1773</v>
      </c>
      <c r="K394" s="7" t="s">
        <v>253</v>
      </c>
      <c r="L394" s="7" t="s">
        <v>424</v>
      </c>
      <c r="M394" s="18">
        <v>4.75E7</v>
      </c>
      <c r="N394" s="3">
        <f>STANDARDIZE(M394,Profiling!$C$2, Profiling!$B$2)</f>
        <v>-0.02787473342</v>
      </c>
      <c r="O394" s="18">
        <v>1.52E7</v>
      </c>
      <c r="P394" s="3">
        <f>STANDARDIZE(O394,Profiling!$C$3, Profiling!$B$3)</f>
        <v>-0.7464072346</v>
      </c>
      <c r="Q394" s="3"/>
      <c r="R394" s="3"/>
    </row>
    <row r="395">
      <c r="A395" s="11" t="s">
        <v>2298</v>
      </c>
      <c r="B395" s="20">
        <v>42262.0</v>
      </c>
      <c r="C395" s="13" t="s">
        <v>2299</v>
      </c>
      <c r="D395" s="11" t="s">
        <v>17</v>
      </c>
      <c r="E395" s="17"/>
      <c r="F395" s="15" t="s">
        <v>2300</v>
      </c>
      <c r="G395" s="16"/>
      <c r="H395" s="7" t="s">
        <v>956</v>
      </c>
      <c r="I395" s="7" t="s">
        <v>1088</v>
      </c>
      <c r="J395" s="7" t="s">
        <v>1473</v>
      </c>
      <c r="K395" s="7" t="s">
        <v>1629</v>
      </c>
      <c r="L395" s="7" t="s">
        <v>2301</v>
      </c>
      <c r="M395" s="18">
        <v>4.4E7</v>
      </c>
      <c r="N395" s="3">
        <f>STANDARDIZE(M395,Profiling!$C$2, Profiling!$B$2)</f>
        <v>-0.09901498064</v>
      </c>
      <c r="O395" s="18">
        <v>1.946E8</v>
      </c>
      <c r="P395" s="3">
        <f>STANDARDIZE(O395,Profiling!$C$3, Profiling!$B$3)</f>
        <v>0.2325539932</v>
      </c>
      <c r="Q395" s="3"/>
      <c r="R395" s="3"/>
    </row>
    <row r="396">
      <c r="A396" s="11" t="s">
        <v>2302</v>
      </c>
      <c r="B396" s="20">
        <v>41432.0</v>
      </c>
      <c r="C396" s="13" t="s">
        <v>2303</v>
      </c>
      <c r="D396" s="11" t="s">
        <v>17</v>
      </c>
      <c r="E396" s="17"/>
      <c r="F396" s="15" t="s">
        <v>1465</v>
      </c>
      <c r="G396" s="16"/>
      <c r="H396" s="7" t="s">
        <v>2304</v>
      </c>
      <c r="I396" s="7" t="s">
        <v>1468</v>
      </c>
      <c r="J396" s="7" t="s">
        <v>1335</v>
      </c>
      <c r="K396" s="7" t="s">
        <v>275</v>
      </c>
      <c r="L396" s="7" t="s">
        <v>2305</v>
      </c>
      <c r="M396" s="18">
        <v>5.8E7</v>
      </c>
      <c r="N396" s="3">
        <f>STANDARDIZE(M396,Profiling!$C$2, Profiling!$B$2)</f>
        <v>0.1855460082</v>
      </c>
      <c r="O396" s="18">
        <v>9.3E7</v>
      </c>
      <c r="P396" s="3">
        <f>STANDARDIZE(O396,Profiling!$C$3, Profiling!$B$3)</f>
        <v>-0.3218632908</v>
      </c>
      <c r="Q396" s="3"/>
      <c r="R396" s="3"/>
    </row>
    <row r="397">
      <c r="A397" s="11" t="s">
        <v>2306</v>
      </c>
      <c r="B397" s="20">
        <v>41984.0</v>
      </c>
      <c r="C397" s="13" t="s">
        <v>2307</v>
      </c>
      <c r="D397" s="11" t="s">
        <v>15</v>
      </c>
      <c r="E397" s="11" t="s">
        <v>17</v>
      </c>
      <c r="F397" s="15" t="s">
        <v>1214</v>
      </c>
      <c r="G397" s="15" t="s">
        <v>2308</v>
      </c>
      <c r="H397" s="7" t="s">
        <v>1214</v>
      </c>
      <c r="I397" s="7" t="s">
        <v>2309</v>
      </c>
      <c r="J397" s="7" t="s">
        <v>1513</v>
      </c>
      <c r="K397" s="17"/>
      <c r="L397" s="17"/>
      <c r="M397" s="18">
        <v>4.4E7</v>
      </c>
      <c r="N397" s="3">
        <f>STANDARDIZE(M397,Profiling!$C$2, Profiling!$B$2)</f>
        <v>-0.09901498064</v>
      </c>
      <c r="O397" s="18">
        <v>1.13E7</v>
      </c>
      <c r="P397" s="3">
        <f>STANDARDIZE(O397,Profiling!$C$3, Profiling!$B$3)</f>
        <v>-0.7676890004</v>
      </c>
      <c r="Q397" s="3"/>
      <c r="R397" s="3"/>
    </row>
    <row r="398">
      <c r="A398" s="11" t="s">
        <v>2310</v>
      </c>
      <c r="B398" s="20">
        <v>41886.0</v>
      </c>
      <c r="C398" s="13" t="s">
        <v>2311</v>
      </c>
      <c r="D398" s="11" t="s">
        <v>17</v>
      </c>
      <c r="E398" s="11" t="s">
        <v>20</v>
      </c>
      <c r="F398" s="15" t="s">
        <v>2312</v>
      </c>
      <c r="G398" s="16"/>
      <c r="H398" s="7" t="s">
        <v>506</v>
      </c>
      <c r="I398" s="7" t="s">
        <v>670</v>
      </c>
      <c r="J398" s="7" t="s">
        <v>2313</v>
      </c>
      <c r="K398" s="7" t="s">
        <v>2135</v>
      </c>
      <c r="L398" s="7" t="s">
        <v>1551</v>
      </c>
      <c r="M398" s="18">
        <v>5.0E7</v>
      </c>
      <c r="N398" s="3">
        <f>STANDARDIZE(M398,Profiling!$C$2, Profiling!$B$2)</f>
        <v>0.02293972887</v>
      </c>
      <c r="O398" s="18">
        <v>8.44E7</v>
      </c>
      <c r="P398" s="3">
        <f>STANDARDIZE(O398,Profiling!$C$3, Profiling!$B$3)</f>
        <v>-0.3687923129</v>
      </c>
      <c r="Q398" s="3"/>
      <c r="R398" s="3"/>
    </row>
    <row r="399">
      <c r="A399" s="11" t="s">
        <v>2314</v>
      </c>
      <c r="B399" s="20">
        <v>42342.0</v>
      </c>
      <c r="C399" s="13" t="s">
        <v>2315</v>
      </c>
      <c r="D399" s="11" t="s">
        <v>17</v>
      </c>
      <c r="E399" s="11" t="s">
        <v>20</v>
      </c>
      <c r="F399" s="15" t="s">
        <v>2316</v>
      </c>
      <c r="G399" s="16"/>
      <c r="H399" s="7" t="s">
        <v>2064</v>
      </c>
      <c r="I399" s="7" t="s">
        <v>2317</v>
      </c>
      <c r="J399" s="7" t="s">
        <v>433</v>
      </c>
      <c r="K399" s="7" t="s">
        <v>2318</v>
      </c>
      <c r="L399" s="7" t="s">
        <v>2319</v>
      </c>
      <c r="M399" s="18">
        <v>6000000.0</v>
      </c>
      <c r="N399" s="3">
        <f>STANDARDIZE(M399,Profiling!$C$2, Profiling!$B$2)</f>
        <v>-0.8713948075</v>
      </c>
      <c r="O399" s="18">
        <v>4.14E7</v>
      </c>
      <c r="P399" s="3">
        <f>STANDARDIZE(O399,Profiling!$C$3, Profiling!$B$3)</f>
        <v>-0.6034374232</v>
      </c>
      <c r="Q399" s="3"/>
      <c r="R399" s="3"/>
    </row>
    <row r="400">
      <c r="A400" s="11" t="s">
        <v>2320</v>
      </c>
      <c r="B400" s="20">
        <v>41334.0</v>
      </c>
      <c r="C400" s="13" t="s">
        <v>2321</v>
      </c>
      <c r="D400" s="11" t="s">
        <v>18</v>
      </c>
      <c r="E400" s="11" t="s">
        <v>19</v>
      </c>
      <c r="F400" s="15" t="s">
        <v>2322</v>
      </c>
      <c r="G400" s="16"/>
      <c r="H400" s="7" t="s">
        <v>2323</v>
      </c>
      <c r="I400" s="7" t="s">
        <v>2324</v>
      </c>
      <c r="J400" s="7" t="s">
        <v>2325</v>
      </c>
      <c r="K400" s="7" t="s">
        <v>2326</v>
      </c>
      <c r="L400" s="7" t="s">
        <v>2327</v>
      </c>
      <c r="M400" s="18">
        <v>5000000.0</v>
      </c>
      <c r="N400" s="3">
        <f>STANDARDIZE(M400,Profiling!$C$2, Profiling!$B$2)</f>
        <v>-0.8917205925</v>
      </c>
      <c r="O400" s="18">
        <v>1.51E7</v>
      </c>
      <c r="P400" s="3">
        <f>STANDARDIZE(O400,Profiling!$C$3, Profiling!$B$3)</f>
        <v>-0.7469529209</v>
      </c>
      <c r="Q400" s="3"/>
      <c r="R400" s="3"/>
    </row>
    <row r="401">
      <c r="A401" s="11" t="s">
        <v>2328</v>
      </c>
      <c r="B401" s="20">
        <v>41292.0</v>
      </c>
      <c r="C401" s="13" t="s">
        <v>2329</v>
      </c>
      <c r="D401" s="11" t="s">
        <v>15</v>
      </c>
      <c r="E401" s="17"/>
      <c r="F401" s="15" t="s">
        <v>2330</v>
      </c>
      <c r="G401" s="16"/>
      <c r="H401" s="7" t="s">
        <v>1832</v>
      </c>
      <c r="I401" s="7" t="s">
        <v>1936</v>
      </c>
      <c r="J401" s="7" t="s">
        <v>967</v>
      </c>
      <c r="K401" s="7" t="s">
        <v>2331</v>
      </c>
      <c r="L401" s="7" t="s">
        <v>96</v>
      </c>
      <c r="M401" s="18">
        <v>4.5E7</v>
      </c>
      <c r="N401" s="3">
        <f>STANDARDIZE(M401,Profiling!$C$2, Profiling!$B$2)</f>
        <v>-0.07868919572</v>
      </c>
      <c r="O401" s="18">
        <v>4.83E7</v>
      </c>
      <c r="P401" s="3">
        <f>STANDARDIZE(O401,Profiling!$C$3, Profiling!$B$3)</f>
        <v>-0.5657850683</v>
      </c>
      <c r="Q401" s="3"/>
      <c r="R401" s="3"/>
    </row>
    <row r="402">
      <c r="A402" s="11" t="s">
        <v>2332</v>
      </c>
      <c r="B402" s="20">
        <v>42300.0</v>
      </c>
      <c r="C402" s="13" t="s">
        <v>2333</v>
      </c>
      <c r="D402" s="11" t="s">
        <v>15</v>
      </c>
      <c r="E402" s="11" t="s">
        <v>13</v>
      </c>
      <c r="F402" s="15" t="s">
        <v>2334</v>
      </c>
      <c r="G402" s="16"/>
      <c r="H402" s="7" t="s">
        <v>800</v>
      </c>
      <c r="I402" s="7" t="s">
        <v>1089</v>
      </c>
      <c r="J402" s="7" t="s">
        <v>2335</v>
      </c>
      <c r="K402" s="7" t="s">
        <v>2336</v>
      </c>
      <c r="L402" s="17"/>
      <c r="M402" s="18">
        <v>9.0E7</v>
      </c>
      <c r="N402" s="3">
        <f>STANDARDIZE(M402,Profiling!$C$2, Profiling!$B$2)</f>
        <v>0.8359711256</v>
      </c>
      <c r="O402" s="18">
        <v>1.404E8</v>
      </c>
      <c r="P402" s="3">
        <f>STANDARDIZE(O402,Profiling!$C$3, Profiling!$B$3)</f>
        <v>-0.06320798313</v>
      </c>
      <c r="Q402" s="3"/>
      <c r="R402" s="3"/>
    </row>
    <row r="403">
      <c r="A403" s="11" t="s">
        <v>2337</v>
      </c>
      <c r="B403" s="20">
        <v>42062.0</v>
      </c>
      <c r="C403" s="13" t="s">
        <v>2338</v>
      </c>
      <c r="D403" s="11" t="s">
        <v>18</v>
      </c>
      <c r="E403" s="17"/>
      <c r="F403" s="15" t="s">
        <v>2339</v>
      </c>
      <c r="G403" s="16"/>
      <c r="H403" s="7" t="s">
        <v>1291</v>
      </c>
      <c r="I403" s="7" t="s">
        <v>1617</v>
      </c>
      <c r="J403" s="7" t="s">
        <v>2340</v>
      </c>
      <c r="K403" s="17"/>
      <c r="L403" s="17"/>
      <c r="M403" s="18">
        <v>3300000.0</v>
      </c>
      <c r="N403" s="3">
        <f>STANDARDIZE(M403,Profiling!$C$2, Profiling!$B$2)</f>
        <v>-0.9262744268</v>
      </c>
      <c r="O403" s="18">
        <v>3.84E7</v>
      </c>
      <c r="P403" s="3">
        <f>STANDARDIZE(O403,Profiling!$C$3, Profiling!$B$3)</f>
        <v>-0.6198080123</v>
      </c>
      <c r="Q403" s="3"/>
      <c r="R403" s="3"/>
    </row>
    <row r="404">
      <c r="A404" s="11" t="s">
        <v>2341</v>
      </c>
      <c r="B404" s="20">
        <v>41649.0</v>
      </c>
      <c r="C404" s="13" t="s">
        <v>2342</v>
      </c>
      <c r="D404" s="11" t="s">
        <v>15</v>
      </c>
      <c r="E404" s="11" t="s">
        <v>10</v>
      </c>
      <c r="F404" s="15" t="s">
        <v>2343</v>
      </c>
      <c r="G404" s="16"/>
      <c r="H404" s="7" t="s">
        <v>2344</v>
      </c>
      <c r="I404" s="7" t="s">
        <v>2345</v>
      </c>
      <c r="J404" s="7" t="s">
        <v>2346</v>
      </c>
      <c r="K404" s="7" t="s">
        <v>2347</v>
      </c>
      <c r="L404" s="7" t="s">
        <v>2348</v>
      </c>
      <c r="M404" s="18">
        <v>7.0E7</v>
      </c>
      <c r="N404" s="3">
        <f>STANDARDIZE(M404,Profiling!$C$2, Profiling!$B$2)</f>
        <v>0.4294554272</v>
      </c>
      <c r="O404" s="18">
        <v>6.13E7</v>
      </c>
      <c r="P404" s="3">
        <f>STANDARDIZE(O404,Profiling!$C$3, Profiling!$B$3)</f>
        <v>-0.4948458489</v>
      </c>
      <c r="Q404" s="3"/>
      <c r="R404" s="3"/>
    </row>
    <row r="405">
      <c r="A405" s="11" t="s">
        <v>2349</v>
      </c>
      <c r="B405" s="20">
        <v>42552.0</v>
      </c>
      <c r="C405" s="13" t="s">
        <v>2350</v>
      </c>
      <c r="D405" s="11" t="s">
        <v>15</v>
      </c>
      <c r="E405" s="11" t="s">
        <v>10</v>
      </c>
      <c r="F405" s="15" t="s">
        <v>2351</v>
      </c>
      <c r="G405" s="16"/>
      <c r="H405" s="7" t="s">
        <v>2180</v>
      </c>
      <c r="I405" s="7" t="s">
        <v>1989</v>
      </c>
      <c r="J405" s="7" t="s">
        <v>375</v>
      </c>
      <c r="K405" s="7" t="s">
        <v>661</v>
      </c>
      <c r="L405" s="7" t="s">
        <v>2352</v>
      </c>
      <c r="M405" s="18">
        <v>1.8E8</v>
      </c>
      <c r="N405" s="3">
        <f>STANDARDIZE(M405,Profiling!$C$2, Profiling!$B$2)</f>
        <v>2.665291768</v>
      </c>
      <c r="O405" s="18">
        <v>3.527E8</v>
      </c>
      <c r="P405" s="3">
        <f>STANDARDIZE(O405,Profiling!$C$3, Profiling!$B$3)</f>
        <v>1.095284038</v>
      </c>
      <c r="Q405" s="3"/>
      <c r="R405" s="3"/>
    </row>
    <row r="406">
      <c r="A406" s="11" t="s">
        <v>2353</v>
      </c>
      <c r="B406" s="20">
        <v>41671.0</v>
      </c>
      <c r="C406" s="13" t="s">
        <v>2354</v>
      </c>
      <c r="D406" s="11" t="s">
        <v>11</v>
      </c>
      <c r="E406" s="17"/>
      <c r="F406" s="15" t="s">
        <v>84</v>
      </c>
      <c r="G406" s="15" t="s">
        <v>85</v>
      </c>
      <c r="H406" s="7" t="s">
        <v>2205</v>
      </c>
      <c r="I406" s="7" t="s">
        <v>574</v>
      </c>
      <c r="J406" s="7" t="s">
        <v>1325</v>
      </c>
      <c r="K406" s="7" t="s">
        <v>2016</v>
      </c>
      <c r="L406" s="7" t="s">
        <v>1345</v>
      </c>
      <c r="M406" s="18">
        <v>6.0E7</v>
      </c>
      <c r="N406" s="3">
        <f>STANDARDIZE(M406,Profiling!$C$2, Profiling!$B$2)</f>
        <v>0.2261975781</v>
      </c>
      <c r="O406" s="18">
        <v>4.692E8</v>
      </c>
      <c r="P406" s="3">
        <f>STANDARDIZE(O406,Profiling!$C$3, Profiling!$B$3)</f>
        <v>1.731008581</v>
      </c>
      <c r="Q406" s="3"/>
      <c r="R406" s="3"/>
    </row>
    <row r="407">
      <c r="A407" s="11" t="s">
        <v>2355</v>
      </c>
      <c r="B407" s="20">
        <v>42342.0</v>
      </c>
      <c r="C407" s="13" t="s">
        <v>2356</v>
      </c>
      <c r="D407" s="11" t="s">
        <v>20</v>
      </c>
      <c r="E407" s="17"/>
      <c r="F407" s="15" t="s">
        <v>2357</v>
      </c>
      <c r="G407" s="16"/>
      <c r="H407" s="7" t="s">
        <v>2358</v>
      </c>
      <c r="I407" s="7" t="s">
        <v>2359</v>
      </c>
      <c r="J407" s="7" t="s">
        <v>2360</v>
      </c>
      <c r="K407" s="7" t="s">
        <v>2361</v>
      </c>
      <c r="L407" s="17"/>
      <c r="M407" s="18">
        <v>1000000.0</v>
      </c>
      <c r="N407" s="3">
        <f>STANDARDIZE(M407,Profiling!$C$2, Profiling!$B$2)</f>
        <v>-0.9730237321</v>
      </c>
      <c r="O407" s="18">
        <v>1600000.0</v>
      </c>
      <c r="P407" s="3">
        <f>STANDARDIZE(O407,Profiling!$C$3, Profiling!$B$3)</f>
        <v>-0.8206205718</v>
      </c>
      <c r="Q407" s="3"/>
      <c r="R407" s="3"/>
    </row>
    <row r="408">
      <c r="A408" s="11" t="s">
        <v>2362</v>
      </c>
      <c r="B408" s="20">
        <v>41019.0</v>
      </c>
      <c r="C408" s="13" t="s">
        <v>2363</v>
      </c>
      <c r="D408" s="11" t="s">
        <v>20</v>
      </c>
      <c r="E408" s="11" t="s">
        <v>22</v>
      </c>
      <c r="F408" s="15" t="s">
        <v>2364</v>
      </c>
      <c r="G408" s="16"/>
      <c r="H408" s="7" t="s">
        <v>680</v>
      </c>
      <c r="I408" s="7" t="s">
        <v>2365</v>
      </c>
      <c r="J408" s="7" t="s">
        <v>2366</v>
      </c>
      <c r="K408" s="7" t="s">
        <v>2367</v>
      </c>
      <c r="L408" s="7" t="s">
        <v>2368</v>
      </c>
      <c r="M408" s="18">
        <v>2.5E7</v>
      </c>
      <c r="N408" s="3">
        <f>STANDARDIZE(M408,Profiling!$C$2, Profiling!$B$2)</f>
        <v>-0.4852048941</v>
      </c>
      <c r="O408" s="18">
        <v>9.94E7</v>
      </c>
      <c r="P408" s="3">
        <f>STANDARDIZE(O408,Profiling!$C$3, Profiling!$B$3)</f>
        <v>-0.2869393674</v>
      </c>
      <c r="Q408" s="3"/>
      <c r="R408" s="3"/>
    </row>
    <row r="409">
      <c r="A409" s="11" t="s">
        <v>2369</v>
      </c>
      <c r="B409" s="20">
        <v>42223.0</v>
      </c>
      <c r="C409" s="13" t="s">
        <v>2370</v>
      </c>
      <c r="D409" s="11" t="s">
        <v>15</v>
      </c>
      <c r="E409" s="11" t="s">
        <v>17</v>
      </c>
      <c r="F409" s="15" t="s">
        <v>2371</v>
      </c>
      <c r="G409" s="16"/>
      <c r="H409" s="7" t="s">
        <v>315</v>
      </c>
      <c r="I409" s="7" t="s">
        <v>1377</v>
      </c>
      <c r="J409" s="7" t="s">
        <v>2372</v>
      </c>
      <c r="K409" s="7" t="s">
        <v>786</v>
      </c>
      <c r="L409" s="7" t="s">
        <v>813</v>
      </c>
      <c r="M409" s="18">
        <v>7.5E7</v>
      </c>
      <c r="N409" s="3">
        <f>STANDARDIZE(M409,Profiling!$C$2, Profiling!$B$2)</f>
        <v>0.5310843518</v>
      </c>
      <c r="O409" s="18">
        <v>1.098E8</v>
      </c>
      <c r="P409" s="3">
        <f>STANDARDIZE(O409,Profiling!$C$3, Profiling!$B$3)</f>
        <v>-0.2301879919</v>
      </c>
      <c r="Q409" s="3"/>
      <c r="R409" s="3"/>
    </row>
    <row r="410">
      <c r="A410" s="11" t="s">
        <v>2373</v>
      </c>
      <c r="B410" s="20">
        <v>41215.0</v>
      </c>
      <c r="C410" s="13" t="s">
        <v>2374</v>
      </c>
      <c r="D410" s="11" t="s">
        <v>15</v>
      </c>
      <c r="E410" s="11" t="s">
        <v>13</v>
      </c>
      <c r="F410" s="15" t="s">
        <v>418</v>
      </c>
      <c r="G410" s="16"/>
      <c r="H410" s="7" t="s">
        <v>1233</v>
      </c>
      <c r="I410" s="7" t="s">
        <v>2375</v>
      </c>
      <c r="J410" s="7" t="s">
        <v>2376</v>
      </c>
      <c r="K410" s="7" t="s">
        <v>418</v>
      </c>
      <c r="L410" s="7" t="s">
        <v>2377</v>
      </c>
      <c r="M410" s="18">
        <v>2.0E7</v>
      </c>
      <c r="N410" s="3">
        <f>STANDARDIZE(M410,Profiling!$C$2, Profiling!$B$2)</f>
        <v>-0.5868338187</v>
      </c>
      <c r="O410" s="18">
        <v>2.03E7</v>
      </c>
      <c r="P410" s="3">
        <f>STANDARDIZE(O410,Profiling!$C$3, Profiling!$B$3)</f>
        <v>-0.7185772332</v>
      </c>
      <c r="Q410" s="3"/>
      <c r="R410" s="3"/>
    </row>
    <row r="411">
      <c r="A411" s="11" t="s">
        <v>2378</v>
      </c>
      <c r="B411" s="20">
        <v>42258.0</v>
      </c>
      <c r="C411" s="13" t="s">
        <v>2379</v>
      </c>
      <c r="D411" s="11" t="s">
        <v>14</v>
      </c>
      <c r="E411" s="17"/>
      <c r="F411" s="15" t="s">
        <v>1699</v>
      </c>
      <c r="G411" s="16"/>
      <c r="H411" s="7" t="s">
        <v>731</v>
      </c>
      <c r="I411" s="7" t="s">
        <v>709</v>
      </c>
      <c r="J411" s="7" t="s">
        <v>628</v>
      </c>
      <c r="K411" s="7" t="s">
        <v>1890</v>
      </c>
      <c r="L411" s="7" t="s">
        <v>154</v>
      </c>
      <c r="M411" s="18">
        <v>1.08E8</v>
      </c>
      <c r="N411" s="3">
        <f>STANDARDIZE(M411,Profiling!$C$2, Profiling!$B$2)</f>
        <v>1.201835254</v>
      </c>
      <c r="O411" s="18">
        <v>6.302E8</v>
      </c>
      <c r="P411" s="3">
        <f>STANDARDIZE(O411,Profiling!$C$3, Profiling!$B$3)</f>
        <v>2.609563529</v>
      </c>
      <c r="Q411" s="3"/>
      <c r="R411" s="3"/>
    </row>
    <row r="412">
      <c r="A412" s="11" t="s">
        <v>2380</v>
      </c>
      <c r="B412" s="20">
        <v>41166.0</v>
      </c>
      <c r="C412" s="13" t="s">
        <v>2381</v>
      </c>
      <c r="D412" s="11" t="s">
        <v>20</v>
      </c>
      <c r="E412" s="17"/>
      <c r="F412" s="15" t="s">
        <v>2382</v>
      </c>
      <c r="G412" s="16"/>
      <c r="H412" s="7" t="s">
        <v>161</v>
      </c>
      <c r="I412" s="7" t="s">
        <v>1107</v>
      </c>
      <c r="J412" s="7" t="s">
        <v>2383</v>
      </c>
      <c r="K412" s="7" t="s">
        <v>2384</v>
      </c>
      <c r="L412" s="7" t="s">
        <v>316</v>
      </c>
      <c r="M412" s="18">
        <v>3.2E7</v>
      </c>
      <c r="N412" s="3">
        <f>STANDARDIZE(M412,Profiling!$C$2, Profiling!$B$2)</f>
        <v>-0.3429243997</v>
      </c>
      <c r="O412" s="18">
        <v>2.83E7</v>
      </c>
      <c r="P412" s="3">
        <f>STANDARDIZE(O412,Profiling!$C$3, Profiling!$B$3)</f>
        <v>-0.6749223289</v>
      </c>
      <c r="Q412" s="3"/>
      <c r="R412" s="3"/>
    </row>
    <row r="413">
      <c r="A413" s="11" t="s">
        <v>2385</v>
      </c>
      <c r="B413" s="20">
        <v>41901.0</v>
      </c>
      <c r="C413" s="13" t="s">
        <v>2386</v>
      </c>
      <c r="D413" s="11" t="s">
        <v>14</v>
      </c>
      <c r="E413" s="11" t="s">
        <v>16</v>
      </c>
      <c r="F413" s="15" t="s">
        <v>1334</v>
      </c>
      <c r="G413" s="16"/>
      <c r="H413" s="7" t="s">
        <v>1335</v>
      </c>
      <c r="I413" s="7" t="s">
        <v>2387</v>
      </c>
      <c r="J413" s="7" t="s">
        <v>1337</v>
      </c>
      <c r="K413" s="7" t="s">
        <v>2388</v>
      </c>
      <c r="L413" s="7" t="s">
        <v>1338</v>
      </c>
      <c r="M413" s="18">
        <v>3.4E7</v>
      </c>
      <c r="N413" s="3">
        <f>STANDARDIZE(M413,Profiling!$C$2, Profiling!$B$2)</f>
        <v>-0.3022728298</v>
      </c>
      <c r="O413" s="18">
        <v>3.483E8</v>
      </c>
      <c r="P413" s="3">
        <f>STANDARDIZE(O413,Profiling!$C$3, Profiling!$B$3)</f>
        <v>1.071273841</v>
      </c>
      <c r="Q413" s="3"/>
      <c r="R413" s="3"/>
    </row>
    <row r="414">
      <c r="A414" s="11" t="s">
        <v>2389</v>
      </c>
      <c r="B414" s="20">
        <v>42408.0</v>
      </c>
      <c r="C414" s="13" t="s">
        <v>2390</v>
      </c>
      <c r="D414" s="11" t="s">
        <v>14</v>
      </c>
      <c r="E414" s="11" t="s">
        <v>13</v>
      </c>
      <c r="F414" s="15" t="s">
        <v>2391</v>
      </c>
      <c r="G414" s="16"/>
      <c r="H414" s="7" t="s">
        <v>2392</v>
      </c>
      <c r="I414" s="7" t="s">
        <v>2393</v>
      </c>
      <c r="J414" s="7" t="s">
        <v>2394</v>
      </c>
      <c r="K414" s="7" t="s">
        <v>2395</v>
      </c>
      <c r="L414" s="7" t="s">
        <v>2396</v>
      </c>
      <c r="M414" s="18">
        <v>6.072E7</v>
      </c>
      <c r="N414" s="3">
        <f>STANDARDIZE(M414,Profiling!$C$2, Profiling!$B$2)</f>
        <v>0.2408321432</v>
      </c>
      <c r="O414" s="18">
        <v>5.538E8</v>
      </c>
      <c r="P414" s="3">
        <f>STANDARDIZE(O414,Profiling!$C$3, Profiling!$B$3)</f>
        <v>2.192659194</v>
      </c>
      <c r="Q414" s="3"/>
      <c r="R414" s="3"/>
    </row>
    <row r="415">
      <c r="A415" s="11" t="s">
        <v>2397</v>
      </c>
      <c r="B415" s="20">
        <v>41677.0</v>
      </c>
      <c r="C415" s="13" t="s">
        <v>2398</v>
      </c>
      <c r="D415" s="11" t="s">
        <v>20</v>
      </c>
      <c r="E415" s="11"/>
      <c r="F415" s="15" t="s">
        <v>950</v>
      </c>
      <c r="G415" s="16"/>
      <c r="H415" s="7" t="s">
        <v>950</v>
      </c>
      <c r="I415" s="7" t="s">
        <v>731</v>
      </c>
      <c r="J415" s="7" t="s">
        <v>223</v>
      </c>
      <c r="K415" s="7" t="s">
        <v>61</v>
      </c>
      <c r="L415" s="7" t="s">
        <v>2399</v>
      </c>
      <c r="M415" s="18">
        <v>7.0E7</v>
      </c>
      <c r="N415" s="3">
        <f>STANDARDIZE(M415,Profiling!$C$2, Profiling!$B$2)</f>
        <v>0.4294554272</v>
      </c>
      <c r="O415" s="18">
        <v>1.55E8</v>
      </c>
      <c r="P415" s="3">
        <f>STANDARDIZE(O415,Profiling!$C$3, Profiling!$B$3)</f>
        <v>0.01646221713</v>
      </c>
      <c r="Q415" s="3"/>
      <c r="R415" s="3"/>
    </row>
    <row r="416">
      <c r="A416" s="11" t="s">
        <v>2400</v>
      </c>
      <c r="B416" s="20">
        <v>41507.0</v>
      </c>
      <c r="C416" s="13" t="s">
        <v>2401</v>
      </c>
      <c r="D416" s="11" t="s">
        <v>15</v>
      </c>
      <c r="E416" s="11" t="s">
        <v>13</v>
      </c>
      <c r="F416" s="15" t="s">
        <v>2402</v>
      </c>
      <c r="G416" s="16"/>
      <c r="H416" s="7" t="s">
        <v>1375</v>
      </c>
      <c r="I416" s="7" t="s">
        <v>2403</v>
      </c>
      <c r="J416" s="7" t="s">
        <v>2404</v>
      </c>
      <c r="K416" s="7" t="s">
        <v>2405</v>
      </c>
      <c r="L416" s="7" t="s">
        <v>2406</v>
      </c>
      <c r="M416" s="18">
        <v>6.0E7</v>
      </c>
      <c r="N416" s="3">
        <f>STANDARDIZE(M416,Profiling!$C$2, Profiling!$B$2)</f>
        <v>0.2261975781</v>
      </c>
      <c r="O416" s="18">
        <v>9.06E7</v>
      </c>
      <c r="P416" s="3">
        <f>STANDARDIZE(O416,Profiling!$C$3, Profiling!$B$3)</f>
        <v>-0.3349597621</v>
      </c>
      <c r="Q416" s="3"/>
      <c r="R416" s="3"/>
    </row>
    <row r="417">
      <c r="A417" s="11" t="s">
        <v>2407</v>
      </c>
      <c r="B417" s="20">
        <v>42328.0</v>
      </c>
      <c r="C417" s="13" t="s">
        <v>2408</v>
      </c>
      <c r="D417" s="11" t="s">
        <v>17</v>
      </c>
      <c r="E417" s="17"/>
      <c r="F417" s="15" t="s">
        <v>2409</v>
      </c>
      <c r="G417" s="16"/>
      <c r="H417" s="7" t="s">
        <v>1260</v>
      </c>
      <c r="I417" s="7" t="s">
        <v>1214</v>
      </c>
      <c r="J417" s="7" t="s">
        <v>192</v>
      </c>
      <c r="K417" s="17"/>
      <c r="L417" s="17"/>
      <c r="M417" s="18">
        <v>2.5E7</v>
      </c>
      <c r="N417" s="3">
        <f>STANDARDIZE(M417,Profiling!$C$2, Profiling!$B$2)</f>
        <v>-0.4852048941</v>
      </c>
      <c r="O417" s="18">
        <v>5.24E7</v>
      </c>
      <c r="P417" s="3">
        <f>STANDARDIZE(O417,Profiling!$C$3, Profiling!$B$3)</f>
        <v>-0.5434119299</v>
      </c>
      <c r="Q417" s="3"/>
      <c r="R417" s="3"/>
    </row>
    <row r="418">
      <c r="A418" s="11" t="s">
        <v>2410</v>
      </c>
      <c r="B418" s="20">
        <v>41878.0</v>
      </c>
      <c r="C418" s="13" t="s">
        <v>2411</v>
      </c>
      <c r="D418" s="25" t="s">
        <v>19</v>
      </c>
      <c r="E418" s="11"/>
      <c r="F418" s="15" t="s">
        <v>2412</v>
      </c>
      <c r="G418" s="16"/>
      <c r="H418" s="7" t="s">
        <v>147</v>
      </c>
      <c r="I418" s="7" t="s">
        <v>1517</v>
      </c>
      <c r="J418" s="7" t="s">
        <v>1645</v>
      </c>
      <c r="K418" s="7" t="s">
        <v>2413</v>
      </c>
      <c r="L418" s="7" t="s">
        <v>2414</v>
      </c>
      <c r="M418" s="18">
        <v>1.5E7</v>
      </c>
      <c r="N418" s="3">
        <f>STANDARDIZE(M418,Profiling!$C$2, Profiling!$B$2)</f>
        <v>-0.6884627433</v>
      </c>
      <c r="O418" s="18">
        <v>3.48E7</v>
      </c>
      <c r="P418" s="3">
        <f>STANDARDIZE(O418,Profiling!$C$3, Profiling!$B$3)</f>
        <v>-0.6394527192</v>
      </c>
      <c r="Q418" s="3"/>
      <c r="R418" s="3"/>
    </row>
    <row r="419">
      <c r="A419" s="11" t="s">
        <v>2415</v>
      </c>
      <c r="B419" s="20">
        <v>41650.0</v>
      </c>
      <c r="C419" s="13" t="s">
        <v>2416</v>
      </c>
      <c r="D419" s="11" t="s">
        <v>11</v>
      </c>
      <c r="E419" s="17"/>
      <c r="F419" s="15" t="s">
        <v>2417</v>
      </c>
      <c r="G419" s="16"/>
      <c r="H419" s="7" t="s">
        <v>2016</v>
      </c>
      <c r="I419" s="7" t="s">
        <v>1535</v>
      </c>
      <c r="J419" s="7" t="s">
        <v>177</v>
      </c>
      <c r="K419" s="7" t="s">
        <v>771</v>
      </c>
      <c r="L419" s="7" t="s">
        <v>142</v>
      </c>
      <c r="M419" s="18">
        <v>4.28E7</v>
      </c>
      <c r="N419" s="3">
        <f>STANDARDIZE(M419,Profiling!$C$2, Profiling!$B$2)</f>
        <v>-0.1234059225</v>
      </c>
      <c r="O419" s="18">
        <v>1.209E8</v>
      </c>
      <c r="P419" s="3">
        <f>STANDARDIZE(O419,Profiling!$C$3, Profiling!$B$3)</f>
        <v>-0.1696168122</v>
      </c>
      <c r="Q419" s="3"/>
      <c r="R419" s="3"/>
    </row>
    <row r="420">
      <c r="A420" s="11" t="s">
        <v>2418</v>
      </c>
      <c r="B420" s="20">
        <v>41150.0</v>
      </c>
      <c r="C420" s="13" t="s">
        <v>2419</v>
      </c>
      <c r="D420" s="11" t="s">
        <v>11</v>
      </c>
      <c r="E420" s="17"/>
      <c r="F420" s="15" t="s">
        <v>2420</v>
      </c>
      <c r="G420" s="16"/>
      <c r="H420" s="7" t="s">
        <v>2421</v>
      </c>
      <c r="I420" s="7" t="s">
        <v>2422</v>
      </c>
      <c r="J420" s="7" t="s">
        <v>2423</v>
      </c>
      <c r="K420" s="7" t="s">
        <v>2424</v>
      </c>
      <c r="L420" s="7" t="s">
        <v>2425</v>
      </c>
      <c r="M420" s="18">
        <v>2.0E7</v>
      </c>
      <c r="N420" s="3">
        <f>STANDARDIZE(M420,Profiling!$C$2, Profiling!$B$2)</f>
        <v>-0.5868338187</v>
      </c>
      <c r="O420" s="18">
        <v>1100000.0</v>
      </c>
      <c r="P420" s="3">
        <f>STANDARDIZE(O420,Profiling!$C$3, Profiling!$B$3)</f>
        <v>-0.8233490033</v>
      </c>
      <c r="Q420" s="3"/>
      <c r="R420" s="3"/>
    </row>
    <row r="421">
      <c r="A421" s="11" t="s">
        <v>2426</v>
      </c>
      <c r="B421" s="20">
        <v>41729.0</v>
      </c>
      <c r="C421" s="13" t="s">
        <v>2427</v>
      </c>
      <c r="D421" s="11" t="s">
        <v>17</v>
      </c>
      <c r="E421" s="17"/>
      <c r="F421" s="15" t="s">
        <v>2428</v>
      </c>
      <c r="G421" s="16"/>
      <c r="H421" s="7" t="s">
        <v>274</v>
      </c>
      <c r="I421" s="7" t="s">
        <v>1777</v>
      </c>
      <c r="J421" s="7" t="s">
        <v>2429</v>
      </c>
      <c r="K421" s="7" t="s">
        <v>914</v>
      </c>
      <c r="L421" s="7" t="s">
        <v>2211</v>
      </c>
      <c r="M421" s="18">
        <v>4.0E7</v>
      </c>
      <c r="N421" s="3">
        <f>STANDARDIZE(M421,Profiling!$C$2, Profiling!$B$2)</f>
        <v>-0.1803181203</v>
      </c>
      <c r="O421" s="18">
        <v>1.967E8</v>
      </c>
      <c r="P421" s="3">
        <f>STANDARDIZE(O421,Profiling!$C$3, Profiling!$B$3)</f>
        <v>0.2440134055</v>
      </c>
      <c r="Q421" s="3"/>
      <c r="R421" s="3"/>
    </row>
    <row r="422">
      <c r="A422" s="11" t="s">
        <v>2430</v>
      </c>
      <c r="B422" s="20">
        <v>42309.0</v>
      </c>
      <c r="C422" s="13" t="s">
        <v>2431</v>
      </c>
      <c r="D422" s="11" t="s">
        <v>12</v>
      </c>
      <c r="E422" s="11" t="s">
        <v>17</v>
      </c>
      <c r="F422" s="15" t="s">
        <v>1047</v>
      </c>
      <c r="G422" s="16"/>
      <c r="H422" s="7" t="s">
        <v>2432</v>
      </c>
      <c r="I422" s="7" t="s">
        <v>2433</v>
      </c>
      <c r="J422" s="7" t="s">
        <v>2434</v>
      </c>
      <c r="K422" s="7" t="s">
        <v>2435</v>
      </c>
      <c r="L422" s="7" t="s">
        <v>2436</v>
      </c>
      <c r="M422" s="18">
        <v>9.9E7</v>
      </c>
      <c r="N422" s="3">
        <f>STANDARDIZE(M422,Profiling!$C$2, Profiling!$B$2)</f>
        <v>1.01890319</v>
      </c>
      <c r="O422" s="18">
        <v>2.462E8</v>
      </c>
      <c r="P422" s="3">
        <f>STANDARDIZE(O422,Profiling!$C$3, Profiling!$B$3)</f>
        <v>0.5141281256</v>
      </c>
      <c r="Q422" s="3"/>
      <c r="R422" s="3"/>
    </row>
    <row r="423">
      <c r="A423" s="11" t="s">
        <v>2437</v>
      </c>
      <c r="B423" s="20">
        <v>42249.0</v>
      </c>
      <c r="C423" s="13" t="s">
        <v>2438</v>
      </c>
      <c r="D423" s="11" t="s">
        <v>19</v>
      </c>
      <c r="E423" s="17"/>
      <c r="F423" s="15" t="s">
        <v>2439</v>
      </c>
      <c r="G423" s="16"/>
      <c r="H423" s="7" t="s">
        <v>2440</v>
      </c>
      <c r="I423" s="7" t="s">
        <v>2441</v>
      </c>
      <c r="J423" s="7" t="s">
        <v>2114</v>
      </c>
      <c r="K423" s="17"/>
      <c r="L423" s="17"/>
      <c r="M423" s="18">
        <v>1.8E7</v>
      </c>
      <c r="N423" s="3">
        <f>STANDARDIZE(M423,Profiling!$C$2, Profiling!$B$2)</f>
        <v>-0.6274853885</v>
      </c>
      <c r="O423" s="18">
        <v>6.03E7</v>
      </c>
      <c r="P423" s="3">
        <f>STANDARDIZE(O423,Profiling!$C$3, Profiling!$B$3)</f>
        <v>-0.5003027119</v>
      </c>
      <c r="Q423" s="3"/>
      <c r="R423" s="3"/>
    </row>
    <row r="424">
      <c r="A424" s="11" t="s">
        <v>2442</v>
      </c>
      <c r="B424" s="20">
        <v>42440.0</v>
      </c>
      <c r="C424" s="13" t="s">
        <v>2443</v>
      </c>
      <c r="D424" s="11" t="s">
        <v>22</v>
      </c>
      <c r="E424" s="17"/>
      <c r="F424" s="15" t="s">
        <v>2444</v>
      </c>
      <c r="G424" s="16"/>
      <c r="H424" s="7" t="s">
        <v>2445</v>
      </c>
      <c r="I424" s="7" t="s">
        <v>2446</v>
      </c>
      <c r="J424" s="7" t="s">
        <v>2447</v>
      </c>
      <c r="K424" s="7" t="s">
        <v>2448</v>
      </c>
      <c r="L424" s="7" t="s">
        <v>2449</v>
      </c>
      <c r="M424" s="18">
        <v>5000000.0</v>
      </c>
      <c r="N424" s="3">
        <f>STANDARDIZE(M424,Profiling!$C$2, Profiling!$B$2)</f>
        <v>-0.8917205925</v>
      </c>
      <c r="O424" s="18">
        <v>1.04E7</v>
      </c>
      <c r="P424" s="3">
        <f>STANDARDIZE(O424,Profiling!$C$3, Profiling!$B$3)</f>
        <v>-0.7726001772</v>
      </c>
      <c r="Q424" s="3"/>
      <c r="R424" s="3"/>
    </row>
    <row r="425">
      <c r="A425" s="11" t="s">
        <v>2450</v>
      </c>
      <c r="B425" s="20">
        <v>41173.0</v>
      </c>
      <c r="C425" s="13" t="s">
        <v>2451</v>
      </c>
      <c r="D425" s="11" t="s">
        <v>20</v>
      </c>
      <c r="E425" s="17"/>
      <c r="F425" s="15" t="s">
        <v>2452</v>
      </c>
      <c r="G425" s="16"/>
      <c r="H425" s="7" t="s">
        <v>1497</v>
      </c>
      <c r="I425" s="7" t="s">
        <v>846</v>
      </c>
      <c r="J425" s="7" t="s">
        <v>2174</v>
      </c>
      <c r="K425" s="7" t="s">
        <v>2453</v>
      </c>
      <c r="L425" s="7" t="s">
        <v>2454</v>
      </c>
      <c r="M425" s="18">
        <v>1.3E7</v>
      </c>
      <c r="N425" s="3">
        <f>STANDARDIZE(M425,Profiling!$C$2, Profiling!$B$2)</f>
        <v>-0.7291143131</v>
      </c>
      <c r="O425" s="18">
        <v>3.34E7</v>
      </c>
      <c r="P425" s="3">
        <f>STANDARDIZE(O425,Profiling!$C$3, Profiling!$B$3)</f>
        <v>-0.6470923274</v>
      </c>
      <c r="Q425" s="3"/>
      <c r="R425" s="3"/>
    </row>
    <row r="426">
      <c r="A426" s="11" t="s">
        <v>2455</v>
      </c>
      <c r="B426" s="20">
        <v>41026.0</v>
      </c>
      <c r="C426" s="13" t="s">
        <v>2456</v>
      </c>
      <c r="D426" s="11" t="s">
        <v>17</v>
      </c>
      <c r="E426" s="11" t="s">
        <v>15</v>
      </c>
      <c r="F426" s="15" t="s">
        <v>2457</v>
      </c>
      <c r="G426" s="15" t="s">
        <v>2458</v>
      </c>
      <c r="H426" s="7" t="s">
        <v>813</v>
      </c>
      <c r="I426" s="7" t="s">
        <v>978</v>
      </c>
      <c r="J426" s="7" t="s">
        <v>761</v>
      </c>
      <c r="K426" s="7" t="s">
        <v>2459</v>
      </c>
      <c r="L426" s="7" t="s">
        <v>2460</v>
      </c>
      <c r="M426" s="18">
        <v>5.5E7</v>
      </c>
      <c r="N426" s="3">
        <f>STANDARDIZE(M426,Profiling!$C$2, Profiling!$B$2)</f>
        <v>0.1245686535</v>
      </c>
      <c r="O426" s="18">
        <v>1.23E8</v>
      </c>
      <c r="P426" s="3">
        <f>STANDARDIZE(O426,Profiling!$C$3, Profiling!$B$3)</f>
        <v>-0.1581573999</v>
      </c>
      <c r="Q426" s="3"/>
      <c r="R426" s="3"/>
    </row>
    <row r="427">
      <c r="A427" s="11" t="s">
        <v>2461</v>
      </c>
      <c r="B427" s="20">
        <v>41362.0</v>
      </c>
      <c r="C427" s="13" t="s">
        <v>2462</v>
      </c>
      <c r="D427" s="11" t="s">
        <v>25</v>
      </c>
      <c r="E427" s="11" t="s">
        <v>20</v>
      </c>
      <c r="F427" s="15" t="s">
        <v>2463</v>
      </c>
      <c r="G427" s="16"/>
      <c r="H427" s="7" t="s">
        <v>856</v>
      </c>
      <c r="I427" s="7" t="s">
        <v>220</v>
      </c>
      <c r="J427" s="7" t="s">
        <v>275</v>
      </c>
      <c r="K427" s="7" t="s">
        <v>2464</v>
      </c>
      <c r="L427" s="7" t="s">
        <v>1189</v>
      </c>
      <c r="M427" s="18">
        <v>1.5E7</v>
      </c>
      <c r="N427" s="3">
        <f>STANDARDIZE(M427,Profiling!$C$2, Profiling!$B$2)</f>
        <v>-0.6884627433</v>
      </c>
      <c r="O427" s="18">
        <v>4.7E7</v>
      </c>
      <c r="P427" s="3">
        <f>STANDARDIZE(O427,Profiling!$C$3, Profiling!$B$3)</f>
        <v>-0.5728789902</v>
      </c>
      <c r="Q427" s="3"/>
      <c r="R427" s="3"/>
    </row>
    <row r="428">
      <c r="A428" s="11" t="s">
        <v>2465</v>
      </c>
      <c r="B428" s="20">
        <v>41152.0</v>
      </c>
      <c r="C428" s="13" t="s">
        <v>2466</v>
      </c>
      <c r="D428" s="11" t="s">
        <v>18</v>
      </c>
      <c r="E428" s="11" t="s">
        <v>19</v>
      </c>
      <c r="F428" s="15" t="s">
        <v>2467</v>
      </c>
      <c r="G428" s="16"/>
      <c r="H428" s="7" t="s">
        <v>2468</v>
      </c>
      <c r="I428" s="7" t="s">
        <v>1326</v>
      </c>
      <c r="J428" s="17"/>
      <c r="K428" s="17"/>
      <c r="L428" s="17"/>
      <c r="M428" s="18">
        <v>1.4E7</v>
      </c>
      <c r="N428" s="3">
        <f>STANDARDIZE(M428,Profiling!$C$2, Profiling!$B$2)</f>
        <v>-0.7087885282</v>
      </c>
      <c r="O428" s="18">
        <v>7.85E7</v>
      </c>
      <c r="P428" s="3">
        <f>STANDARDIZE(O428,Profiling!$C$3, Profiling!$B$3)</f>
        <v>-0.4009878047</v>
      </c>
      <c r="Q428" s="3"/>
      <c r="R428" s="3"/>
    </row>
    <row r="429">
      <c r="A429" s="11" t="s">
        <v>2469</v>
      </c>
      <c r="B429" s="20">
        <v>41425.0</v>
      </c>
      <c r="C429" s="13" t="s">
        <v>2470</v>
      </c>
      <c r="D429" s="11" t="s">
        <v>14</v>
      </c>
      <c r="E429" s="11" t="s">
        <v>19</v>
      </c>
      <c r="F429" s="15" t="s">
        <v>2471</v>
      </c>
      <c r="G429" s="16"/>
      <c r="H429" s="7" t="s">
        <v>410</v>
      </c>
      <c r="I429" s="7" t="s">
        <v>100</v>
      </c>
      <c r="J429" s="7" t="s">
        <v>2472</v>
      </c>
      <c r="K429" s="7" t="s">
        <v>2473</v>
      </c>
      <c r="L429" s="7" t="s">
        <v>295</v>
      </c>
      <c r="M429" s="18">
        <v>3000000.0</v>
      </c>
      <c r="N429" s="3">
        <f>STANDARDIZE(M429,Profiling!$C$2, Profiling!$B$2)</f>
        <v>-0.9323721623</v>
      </c>
      <c r="O429" s="18">
        <v>8.93E7</v>
      </c>
      <c r="P429" s="3">
        <f>STANDARDIZE(O429,Profiling!$C$3, Profiling!$B$3)</f>
        <v>-0.342053684</v>
      </c>
      <c r="Q429" s="3"/>
      <c r="R429" s="3"/>
    </row>
    <row r="430">
      <c r="A430" s="11" t="s">
        <v>2474</v>
      </c>
      <c r="B430" s="20">
        <v>42552.0</v>
      </c>
      <c r="C430" s="13" t="s">
        <v>2475</v>
      </c>
      <c r="D430" s="11" t="s">
        <v>18</v>
      </c>
      <c r="E430" s="11" t="s">
        <v>19</v>
      </c>
      <c r="F430" s="15" t="s">
        <v>2471</v>
      </c>
      <c r="G430" s="16"/>
      <c r="H430" s="7" t="s">
        <v>746</v>
      </c>
      <c r="I430" s="7" t="s">
        <v>2476</v>
      </c>
      <c r="J430" s="7" t="s">
        <v>295</v>
      </c>
      <c r="K430" s="7" t="s">
        <v>2477</v>
      </c>
      <c r="L430" s="7" t="s">
        <v>2478</v>
      </c>
      <c r="M430" s="18">
        <v>1.0E7</v>
      </c>
      <c r="N430" s="3">
        <f>STANDARDIZE(M430,Profiling!$C$2, Profiling!$B$2)</f>
        <v>-0.7900916679</v>
      </c>
      <c r="O430" s="18">
        <v>1.056E8</v>
      </c>
      <c r="P430" s="3">
        <f>STANDARDIZE(O430,Profiling!$C$3, Profiling!$B$3)</f>
        <v>-0.2531068166</v>
      </c>
      <c r="Q430" s="3"/>
      <c r="R430" s="3"/>
    </row>
    <row r="431">
      <c r="A431" s="11" t="s">
        <v>2479</v>
      </c>
      <c r="B431" s="20">
        <v>41660.0</v>
      </c>
      <c r="C431" s="13" t="s">
        <v>2480</v>
      </c>
      <c r="D431" s="11" t="s">
        <v>15</v>
      </c>
      <c r="E431" s="17"/>
      <c r="F431" s="15" t="s">
        <v>2481</v>
      </c>
      <c r="G431" s="16"/>
      <c r="H431" s="7" t="s">
        <v>2482</v>
      </c>
      <c r="I431" s="7" t="s">
        <v>2483</v>
      </c>
      <c r="J431" s="7" t="s">
        <v>2484</v>
      </c>
      <c r="K431" s="7" t="s">
        <v>2485</v>
      </c>
      <c r="L431" s="7" t="s">
        <v>2486</v>
      </c>
      <c r="M431" s="18">
        <v>4500000.0</v>
      </c>
      <c r="N431" s="3">
        <f>STANDARDIZE(M431,Profiling!$C$2, Profiling!$B$2)</f>
        <v>-0.9018834849</v>
      </c>
      <c r="O431" s="18">
        <v>6600000.0</v>
      </c>
      <c r="P431" s="3">
        <f>STANDARDIZE(O431,Profiling!$C$3, Profiling!$B$3)</f>
        <v>-0.7933362567</v>
      </c>
      <c r="Q431" s="3"/>
      <c r="R431" s="3"/>
    </row>
    <row r="432">
      <c r="A432" s="11" t="s">
        <v>2487</v>
      </c>
      <c r="B432" s="20">
        <v>40991.0</v>
      </c>
      <c r="C432" s="13" t="s">
        <v>2488</v>
      </c>
      <c r="D432" s="11" t="s">
        <v>15</v>
      </c>
      <c r="E432" s="11"/>
      <c r="F432" s="15" t="s">
        <v>2481</v>
      </c>
      <c r="G432" s="16"/>
      <c r="H432" s="7" t="s">
        <v>2482</v>
      </c>
      <c r="I432" s="7" t="s">
        <v>2489</v>
      </c>
      <c r="J432" s="7" t="s">
        <v>2490</v>
      </c>
      <c r="K432" s="7" t="s">
        <v>2491</v>
      </c>
      <c r="L432" s="7" t="s">
        <v>2492</v>
      </c>
      <c r="M432" s="18">
        <v>1100000.0</v>
      </c>
      <c r="N432" s="3">
        <f>STANDARDIZE(M432,Profiling!$C$2, Profiling!$B$2)</f>
        <v>-0.9709911537</v>
      </c>
      <c r="O432" s="18">
        <v>9140000.0</v>
      </c>
      <c r="P432" s="3">
        <f>STANDARDIZE(O432,Profiling!$C$3, Profiling!$B$3)</f>
        <v>-0.7794758246</v>
      </c>
      <c r="Q432" s="3"/>
      <c r="R432" s="3"/>
    </row>
    <row r="433">
      <c r="A433" s="11" t="s">
        <v>2493</v>
      </c>
      <c r="B433" s="20">
        <v>41026.0</v>
      </c>
      <c r="C433" s="13" t="s">
        <v>2494</v>
      </c>
      <c r="D433" s="11" t="s">
        <v>19</v>
      </c>
      <c r="E433" s="17"/>
      <c r="F433" s="15" t="s">
        <v>2495</v>
      </c>
      <c r="G433" s="16"/>
      <c r="H433" s="7" t="s">
        <v>701</v>
      </c>
      <c r="I433" s="7" t="s">
        <v>561</v>
      </c>
      <c r="J433" s="7" t="s">
        <v>686</v>
      </c>
      <c r="K433" s="7" t="s">
        <v>1985</v>
      </c>
      <c r="L433" s="7" t="s">
        <v>2496</v>
      </c>
      <c r="M433" s="18">
        <v>2.6E7</v>
      </c>
      <c r="N433" s="3">
        <f>STANDARDIZE(M433,Profiling!$C$2, Profiling!$B$2)</f>
        <v>-0.4648791092</v>
      </c>
      <c r="O433" s="18">
        <v>2.97E7</v>
      </c>
      <c r="P433" s="3">
        <f>STANDARDIZE(O433,Profiling!$C$3, Profiling!$B$3)</f>
        <v>-0.6672827207</v>
      </c>
      <c r="Q433" s="3"/>
      <c r="R433" s="3"/>
    </row>
    <row r="434">
      <c r="A434" s="11" t="s">
        <v>2497</v>
      </c>
      <c r="B434" s="20">
        <v>42363.0</v>
      </c>
      <c r="C434" s="13" t="s">
        <v>2498</v>
      </c>
      <c r="D434" s="25" t="s">
        <v>19</v>
      </c>
      <c r="E434" s="11"/>
      <c r="F434" s="15" t="s">
        <v>2499</v>
      </c>
      <c r="G434" s="16"/>
      <c r="H434" s="7" t="s">
        <v>660</v>
      </c>
      <c r="I434" s="7" t="s">
        <v>518</v>
      </c>
      <c r="J434" s="7" t="s">
        <v>432</v>
      </c>
      <c r="K434" s="7" t="s">
        <v>2387</v>
      </c>
      <c r="L434" s="17"/>
      <c r="M434" s="18">
        <v>1.35E8</v>
      </c>
      <c r="N434" s="3">
        <f>STANDARDIZE(M434,Profiling!$C$2, Profiling!$B$2)</f>
        <v>1.750631447</v>
      </c>
      <c r="O434" s="18">
        <v>5.33E8</v>
      </c>
      <c r="P434" s="3">
        <f>STANDARDIZE(O434,Profiling!$C$3, Profiling!$B$3)</f>
        <v>2.079156443</v>
      </c>
      <c r="Q434" s="3"/>
      <c r="R434" s="3"/>
    </row>
    <row r="435">
      <c r="A435" s="11" t="s">
        <v>2500</v>
      </c>
      <c r="B435" s="20">
        <v>42061.0</v>
      </c>
      <c r="C435" s="13" t="s">
        <v>2501</v>
      </c>
      <c r="D435" s="11" t="s">
        <v>17</v>
      </c>
      <c r="E435" s="11" t="s">
        <v>20</v>
      </c>
      <c r="F435" s="15" t="s">
        <v>2061</v>
      </c>
      <c r="G435" s="16"/>
      <c r="H435" s="7" t="s">
        <v>2062</v>
      </c>
      <c r="I435" s="7" t="s">
        <v>2063</v>
      </c>
      <c r="J435" s="7" t="s">
        <v>2064</v>
      </c>
      <c r="K435" s="7" t="s">
        <v>2502</v>
      </c>
      <c r="L435" s="7" t="s">
        <v>2503</v>
      </c>
      <c r="M435" s="18">
        <v>1.0E7</v>
      </c>
      <c r="N435" s="3">
        <f>STANDARDIZE(M435,Profiling!$C$2, Profiling!$B$2)</f>
        <v>-0.7900916679</v>
      </c>
      <c r="O435" s="18">
        <v>8.6E7</v>
      </c>
      <c r="P435" s="3">
        <f>STANDARDIZE(O435,Profiling!$C$3, Profiling!$B$3)</f>
        <v>-0.360061332</v>
      </c>
      <c r="Q435" s="3"/>
      <c r="R435" s="3"/>
    </row>
    <row r="436">
      <c r="A436" s="11" t="s">
        <v>2504</v>
      </c>
      <c r="B436" s="20">
        <v>42029.0</v>
      </c>
      <c r="C436" s="13" t="s">
        <v>2505</v>
      </c>
      <c r="D436" s="11" t="s">
        <v>20</v>
      </c>
      <c r="E436" s="17"/>
      <c r="F436" s="15" t="s">
        <v>2506</v>
      </c>
      <c r="G436" s="16"/>
      <c r="H436" s="7" t="s">
        <v>2507</v>
      </c>
      <c r="I436" s="7" t="s">
        <v>2508</v>
      </c>
      <c r="J436" s="7" t="s">
        <v>2509</v>
      </c>
      <c r="K436" s="17"/>
      <c r="L436" s="17"/>
      <c r="M436" s="18">
        <v>4000000.0</v>
      </c>
      <c r="N436" s="3">
        <f>STANDARDIZE(M436,Profiling!$C$2, Profiling!$B$2)</f>
        <v>-0.9120463774</v>
      </c>
      <c r="O436" s="18">
        <v>6200000.0</v>
      </c>
      <c r="P436" s="3">
        <f>STANDARDIZE(O436,Profiling!$C$3, Profiling!$B$3)</f>
        <v>-0.7955190019</v>
      </c>
      <c r="Q436" s="3"/>
      <c r="R436" s="3"/>
    </row>
    <row r="437">
      <c r="A437" s="11" t="s">
        <v>2510</v>
      </c>
      <c r="B437" s="20">
        <v>42559.0</v>
      </c>
      <c r="C437" s="13" t="s">
        <v>2511</v>
      </c>
      <c r="D437" s="11" t="s">
        <v>10</v>
      </c>
      <c r="E437" s="11" t="s">
        <v>17</v>
      </c>
      <c r="F437" s="15" t="s">
        <v>33</v>
      </c>
      <c r="G437" s="15" t="s">
        <v>2512</v>
      </c>
      <c r="H437" s="7" t="s">
        <v>405</v>
      </c>
      <c r="I437" s="7" t="s">
        <v>2513</v>
      </c>
      <c r="J437" s="7" t="s">
        <v>479</v>
      </c>
      <c r="K437" s="7" t="s">
        <v>157</v>
      </c>
      <c r="L437" s="7" t="s">
        <v>2514</v>
      </c>
      <c r="M437" s="18">
        <v>7.5E7</v>
      </c>
      <c r="N437" s="3">
        <f>STANDARDIZE(M437,Profiling!$C$2, Profiling!$B$2)</f>
        <v>0.5310843518</v>
      </c>
      <c r="O437" s="18">
        <v>7.249E8</v>
      </c>
      <c r="P437" s="3">
        <f>STANDARDIZE(O437,Profiling!$C$3, Profiling!$B$3)</f>
        <v>3.126328459</v>
      </c>
      <c r="Q437" s="3"/>
      <c r="R437" s="3"/>
    </row>
    <row r="438">
      <c r="A438" s="11" t="s">
        <v>2515</v>
      </c>
      <c r="B438" s="20">
        <v>40956.0</v>
      </c>
      <c r="C438" s="13" t="s">
        <v>2516</v>
      </c>
      <c r="D438" s="11" t="s">
        <v>10</v>
      </c>
      <c r="E438" s="17"/>
      <c r="F438" s="15" t="s">
        <v>2517</v>
      </c>
      <c r="G438" s="16"/>
      <c r="H438" s="7" t="s">
        <v>2016</v>
      </c>
      <c r="I438" s="7" t="s">
        <v>1912</v>
      </c>
      <c r="J438" s="7" t="s">
        <v>2518</v>
      </c>
      <c r="K438" s="7" t="s">
        <v>2519</v>
      </c>
      <c r="L438" s="7" t="s">
        <v>1265</v>
      </c>
      <c r="M438" s="18">
        <v>2.3E7</v>
      </c>
      <c r="N438" s="3">
        <f>STANDARDIZE(M438,Profiling!$C$2, Profiling!$B$2)</f>
        <v>-0.5258564639</v>
      </c>
      <c r="O438" s="18">
        <v>1.456E8</v>
      </c>
      <c r="P438" s="3">
        <f>STANDARDIZE(O438,Profiling!$C$3, Profiling!$B$3)</f>
        <v>-0.03483229536</v>
      </c>
      <c r="Q438" s="3"/>
      <c r="R438" s="3"/>
    </row>
    <row r="439">
      <c r="A439" s="11" t="s">
        <v>2520</v>
      </c>
      <c r="B439" s="20">
        <v>42542.0</v>
      </c>
      <c r="C439" s="13" t="s">
        <v>2521</v>
      </c>
      <c r="D439" s="11" t="s">
        <v>18</v>
      </c>
      <c r="E439" s="17"/>
      <c r="F439" s="15" t="s">
        <v>1501</v>
      </c>
      <c r="G439" s="16"/>
      <c r="H439" s="7" t="s">
        <v>1846</v>
      </c>
      <c r="I439" s="7" t="s">
        <v>2522</v>
      </c>
      <c r="J439" s="17"/>
      <c r="K439" s="17"/>
      <c r="L439" s="17"/>
      <c r="M439" s="18">
        <v>1.7E7</v>
      </c>
      <c r="N439" s="3">
        <f>STANDARDIZE(M439,Profiling!$C$2, Profiling!$B$2)</f>
        <v>-0.6478111734</v>
      </c>
      <c r="O439" s="18">
        <v>9.32E7</v>
      </c>
      <c r="P439" s="3">
        <f>STANDARDIZE(O439,Profiling!$C$3, Profiling!$B$3)</f>
        <v>-0.3207719182</v>
      </c>
      <c r="Q439" s="3"/>
      <c r="R439" s="3"/>
    </row>
    <row r="440">
      <c r="A440" s="11" t="s">
        <v>2523</v>
      </c>
      <c r="B440" s="20">
        <v>41659.0</v>
      </c>
      <c r="C440" s="13" t="s">
        <v>2524</v>
      </c>
      <c r="D440" s="11" t="s">
        <v>14</v>
      </c>
      <c r="E440" s="17"/>
      <c r="F440" s="15" t="s">
        <v>2525</v>
      </c>
      <c r="G440" s="16"/>
      <c r="H440" s="7" t="s">
        <v>912</v>
      </c>
      <c r="I440" s="7" t="s">
        <v>1343</v>
      </c>
      <c r="J440" s="7" t="s">
        <v>2526</v>
      </c>
      <c r="K440" s="7" t="s">
        <v>2527</v>
      </c>
      <c r="L440" s="17"/>
      <c r="M440" s="18">
        <v>4000000.0</v>
      </c>
      <c r="N440" s="3">
        <f>STANDARDIZE(M440,Profiling!$C$2, Profiling!$B$2)</f>
        <v>-0.9120463774</v>
      </c>
      <c r="O440" s="18">
        <v>2420000.0</v>
      </c>
      <c r="P440" s="3">
        <f>STANDARDIZE(O440,Profiling!$C$3, Profiling!$B$3)</f>
        <v>-0.8161459441</v>
      </c>
      <c r="Q440" s="3"/>
      <c r="R440" s="3"/>
    </row>
    <row r="441">
      <c r="A441" s="11" t="s">
        <v>2528</v>
      </c>
      <c r="B441" s="20">
        <v>41712.0</v>
      </c>
      <c r="C441" s="13" t="s">
        <v>2529</v>
      </c>
      <c r="D441" s="11" t="s">
        <v>17</v>
      </c>
      <c r="E441" s="17"/>
      <c r="F441" s="15" t="s">
        <v>212</v>
      </c>
      <c r="G441" s="16"/>
      <c r="H441" s="7" t="s">
        <v>212</v>
      </c>
      <c r="I441" s="7" t="s">
        <v>2530</v>
      </c>
      <c r="J441" s="7" t="s">
        <v>2531</v>
      </c>
      <c r="K441" s="7" t="s">
        <v>2532</v>
      </c>
      <c r="L441" s="7" t="s">
        <v>2533</v>
      </c>
      <c r="M441" s="18">
        <v>8000000.0</v>
      </c>
      <c r="N441" s="3">
        <f>STANDARDIZE(M441,Profiling!$C$2, Profiling!$B$2)</f>
        <v>-0.8307432377</v>
      </c>
      <c r="O441" s="18">
        <v>1.63E7</v>
      </c>
      <c r="P441" s="3">
        <f>STANDARDIZE(O441,Profiling!$C$3, Profiling!$B$3)</f>
        <v>-0.7404046853</v>
      </c>
      <c r="Q441" s="3"/>
      <c r="R441" s="3"/>
    </row>
    <row r="442">
      <c r="A442" s="11" t="s">
        <v>2534</v>
      </c>
      <c r="B442" s="20">
        <v>41486.0</v>
      </c>
      <c r="C442" s="13" t="s">
        <v>2535</v>
      </c>
      <c r="D442" s="11" t="s">
        <v>10</v>
      </c>
      <c r="E442" s="11" t="s">
        <v>11</v>
      </c>
      <c r="F442" s="15" t="s">
        <v>2536</v>
      </c>
      <c r="G442" s="16"/>
      <c r="H442" s="7" t="s">
        <v>926</v>
      </c>
      <c r="I442" s="7" t="s">
        <v>2537</v>
      </c>
      <c r="J442" s="7" t="s">
        <v>2538</v>
      </c>
      <c r="K442" s="7" t="s">
        <v>2539</v>
      </c>
      <c r="L442" s="7" t="s">
        <v>1985</v>
      </c>
      <c r="M442" s="18">
        <v>1.05E8</v>
      </c>
      <c r="N442" s="3">
        <f>STANDARDIZE(M442,Profiling!$C$2, Profiling!$B$2)</f>
        <v>1.140857899</v>
      </c>
      <c r="O442" s="18">
        <v>3.475E8</v>
      </c>
      <c r="P442" s="3">
        <f>STANDARDIZE(O442,Profiling!$C$3, Profiling!$B$3)</f>
        <v>1.066908351</v>
      </c>
      <c r="Q442" s="3"/>
      <c r="R442" s="3"/>
    </row>
    <row r="443">
      <c r="A443" s="11" t="s">
        <v>2540</v>
      </c>
      <c r="B443" s="20">
        <v>41488.0</v>
      </c>
      <c r="C443" s="13" t="s">
        <v>2541</v>
      </c>
      <c r="D443" s="11" t="s">
        <v>20</v>
      </c>
      <c r="E443" s="17"/>
      <c r="F443" s="15" t="s">
        <v>2542</v>
      </c>
      <c r="G443" s="16"/>
      <c r="H443" s="7" t="s">
        <v>795</v>
      </c>
      <c r="I443" s="7" t="s">
        <v>652</v>
      </c>
      <c r="J443" s="7" t="s">
        <v>2543</v>
      </c>
      <c r="K443" s="7" t="s">
        <v>89</v>
      </c>
      <c r="L443" s="7" t="s">
        <v>2544</v>
      </c>
      <c r="M443" s="18">
        <v>2500000.0</v>
      </c>
      <c r="N443" s="3">
        <f>STANDARDIZE(M443,Profiling!$C$2, Profiling!$B$2)</f>
        <v>-0.9425350548</v>
      </c>
      <c r="O443" s="18">
        <v>6900000.0</v>
      </c>
      <c r="P443" s="3">
        <f>STANDARDIZE(O443,Profiling!$C$3, Profiling!$B$3)</f>
        <v>-0.7916991978</v>
      </c>
      <c r="Q443" s="3"/>
      <c r="R443" s="3"/>
    </row>
    <row r="444">
      <c r="A444" s="11" t="s">
        <v>2545</v>
      </c>
      <c r="B444" s="20">
        <v>42041.0</v>
      </c>
      <c r="C444" s="13" t="s">
        <v>2546</v>
      </c>
      <c r="D444" s="11" t="s">
        <v>10</v>
      </c>
      <c r="E444" s="11" t="s">
        <v>17</v>
      </c>
      <c r="F444" s="26" t="s">
        <v>2547</v>
      </c>
      <c r="G444" s="15" t="s">
        <v>2548</v>
      </c>
      <c r="H444" s="7" t="s">
        <v>2549</v>
      </c>
      <c r="I444" s="7" t="s">
        <v>2548</v>
      </c>
      <c r="J444" s="7" t="s">
        <v>2550</v>
      </c>
      <c r="K444" s="7" t="s">
        <v>2035</v>
      </c>
      <c r="L444" s="7" t="s">
        <v>2551</v>
      </c>
      <c r="M444" s="18">
        <v>7.4E7</v>
      </c>
      <c r="N444" s="3">
        <f>STANDARDIZE(M444,Profiling!$C$2, Profiling!$B$2)</f>
        <v>0.5107585669</v>
      </c>
      <c r="O444" s="18">
        <v>3.234E8</v>
      </c>
      <c r="P444" s="3">
        <f>STANDARDIZE(O444,Profiling!$C$3, Profiling!$B$3)</f>
        <v>0.9353979516</v>
      </c>
      <c r="Q444" s="3"/>
      <c r="R444" s="3"/>
    </row>
    <row r="445">
      <c r="A445" s="11" t="s">
        <v>2552</v>
      </c>
      <c r="B445" s="20">
        <v>42165.0</v>
      </c>
      <c r="C445" s="13" t="s">
        <v>2553</v>
      </c>
      <c r="D445" s="11" t="s">
        <v>17</v>
      </c>
      <c r="E445" s="17"/>
      <c r="F445" s="15" t="s">
        <v>2554</v>
      </c>
      <c r="G445" s="16"/>
      <c r="H445" s="7" t="s">
        <v>2554</v>
      </c>
      <c r="I445" s="7" t="s">
        <v>2555</v>
      </c>
      <c r="J445" s="7" t="s">
        <v>2556</v>
      </c>
      <c r="K445" s="7" t="s">
        <v>2557</v>
      </c>
      <c r="L445" s="17"/>
      <c r="M445" s="18">
        <v>3800000.0</v>
      </c>
      <c r="N445" s="3">
        <f>STANDARDIZE(M445,Profiling!$C$2, Profiling!$B$2)</f>
        <v>-0.9161115344</v>
      </c>
      <c r="O445" s="18">
        <v>3300000.0</v>
      </c>
      <c r="P445" s="3">
        <f>STANDARDIZE(O445,Profiling!$C$3, Profiling!$B$3)</f>
        <v>-0.8113439047</v>
      </c>
      <c r="Q445" s="3"/>
      <c r="R445" s="3"/>
    </row>
    <row r="446">
      <c r="A446" s="11" t="s">
        <v>2558</v>
      </c>
      <c r="B446" s="20">
        <v>41889.0</v>
      </c>
      <c r="C446" s="13" t="s">
        <v>2559</v>
      </c>
      <c r="D446" s="11" t="s">
        <v>24</v>
      </c>
      <c r="E446" s="11" t="s">
        <v>20</v>
      </c>
      <c r="F446" s="15" t="s">
        <v>2560</v>
      </c>
      <c r="G446" s="16"/>
      <c r="H446" s="7" t="s">
        <v>1234</v>
      </c>
      <c r="I446" s="7" t="s">
        <v>2561</v>
      </c>
      <c r="J446" s="17"/>
      <c r="K446" s="17"/>
      <c r="L446" s="17"/>
      <c r="M446" s="18">
        <v>1.5E7</v>
      </c>
      <c r="N446" s="3">
        <f>STANDARDIZE(M446,Profiling!$C$2, Profiling!$B$2)</f>
        <v>-0.6884627433</v>
      </c>
      <c r="O446" s="18">
        <v>1.237E8</v>
      </c>
      <c r="P446" s="3">
        <f>STANDARDIZE(O446,Profiling!$C$3, Profiling!$B$3)</f>
        <v>-0.1543375957</v>
      </c>
      <c r="Q446" s="3"/>
      <c r="R446" s="3"/>
    </row>
    <row r="447">
      <c r="A447" s="11" t="s">
        <v>2562</v>
      </c>
      <c r="B447" s="20">
        <v>41012.0</v>
      </c>
      <c r="C447" s="13" t="s">
        <v>2563</v>
      </c>
      <c r="D447" s="11" t="s">
        <v>17</v>
      </c>
      <c r="E447" s="17"/>
      <c r="F447" s="15" t="s">
        <v>707</v>
      </c>
      <c r="G447" s="15" t="s">
        <v>706</v>
      </c>
      <c r="H447" s="7" t="s">
        <v>2564</v>
      </c>
      <c r="I447" s="7" t="s">
        <v>2565</v>
      </c>
      <c r="J447" s="7" t="s">
        <v>2566</v>
      </c>
      <c r="K447" s="7" t="s">
        <v>2567</v>
      </c>
      <c r="L447" s="7" t="s">
        <v>2568</v>
      </c>
      <c r="M447" s="18">
        <v>3.0E7</v>
      </c>
      <c r="N447" s="3">
        <f>STANDARDIZE(M447,Profiling!$C$2, Profiling!$B$2)</f>
        <v>-0.3835759695</v>
      </c>
      <c r="O447" s="18">
        <v>5.48E7</v>
      </c>
      <c r="P447" s="3">
        <f>STANDARDIZE(O447,Profiling!$C$3, Profiling!$B$3)</f>
        <v>-0.5303154586</v>
      </c>
      <c r="Q447" s="3"/>
      <c r="R447" s="3"/>
    </row>
    <row r="448">
      <c r="A448" s="11" t="s">
        <v>2569</v>
      </c>
      <c r="B448" s="20">
        <v>42251.0</v>
      </c>
      <c r="C448" s="13" t="s">
        <v>2570</v>
      </c>
      <c r="D448" s="11" t="s">
        <v>15</v>
      </c>
      <c r="E448" s="11" t="s">
        <v>19</v>
      </c>
      <c r="F448" s="15" t="s">
        <v>415</v>
      </c>
      <c r="G448" s="16"/>
      <c r="H448" s="7" t="s">
        <v>610</v>
      </c>
      <c r="I448" s="7" t="s">
        <v>2571</v>
      </c>
      <c r="J448" s="7" t="s">
        <v>2572</v>
      </c>
      <c r="K448" s="7" t="s">
        <v>2573</v>
      </c>
      <c r="L448" s="17"/>
      <c r="M448" s="18">
        <v>2.5E7</v>
      </c>
      <c r="N448" s="3">
        <f>STANDARDIZE(M448,Profiling!$C$2, Profiling!$B$2)</f>
        <v>-0.4852048941</v>
      </c>
      <c r="O448" s="18">
        <v>7.26E7</v>
      </c>
      <c r="P448" s="3">
        <f>STANDARDIZE(O448,Profiling!$C$3, Profiling!$B$3)</f>
        <v>-0.4331832966</v>
      </c>
      <c r="Q448" s="3"/>
      <c r="R448" s="3"/>
    </row>
    <row r="449">
      <c r="A449" s="11" t="s">
        <v>2574</v>
      </c>
      <c r="B449" s="20">
        <v>41229.0</v>
      </c>
      <c r="C449" s="13" t="s">
        <v>2575</v>
      </c>
      <c r="D449" s="11" t="s">
        <v>13</v>
      </c>
      <c r="E449" s="11" t="s">
        <v>20</v>
      </c>
      <c r="F449" s="15" t="s">
        <v>31</v>
      </c>
      <c r="G449" s="16"/>
      <c r="H449" s="7" t="s">
        <v>250</v>
      </c>
      <c r="I449" s="7" t="s">
        <v>2576</v>
      </c>
      <c r="J449" s="7" t="s">
        <v>2577</v>
      </c>
      <c r="K449" s="7" t="s">
        <v>2578</v>
      </c>
      <c r="L449" s="7" t="s">
        <v>2579</v>
      </c>
      <c r="M449" s="18">
        <v>1.2E8</v>
      </c>
      <c r="N449" s="3">
        <f>STANDARDIZE(M449,Profiling!$C$2, Profiling!$B$2)</f>
        <v>1.445744673</v>
      </c>
      <c r="O449" s="18">
        <v>8.297E8</v>
      </c>
      <c r="P449" s="3">
        <f>STANDARDIZE(O449,Profiling!$C$3, Profiling!$B$3)</f>
        <v>3.698207704</v>
      </c>
      <c r="Q449" s="3"/>
      <c r="R449" s="3"/>
    </row>
    <row r="450">
      <c r="A450" s="11" t="s">
        <v>2580</v>
      </c>
      <c r="B450" s="20">
        <v>42210.0</v>
      </c>
      <c r="C450" s="13" t="s">
        <v>2581</v>
      </c>
      <c r="D450" s="11" t="s">
        <v>18</v>
      </c>
      <c r="E450" s="17"/>
      <c r="F450" s="15" t="s">
        <v>882</v>
      </c>
      <c r="G450" s="16"/>
      <c r="H450" s="7" t="s">
        <v>2582</v>
      </c>
      <c r="I450" s="7" t="s">
        <v>283</v>
      </c>
      <c r="J450" s="7" t="s">
        <v>2352</v>
      </c>
      <c r="K450" s="7" t="s">
        <v>2583</v>
      </c>
      <c r="L450" s="7" t="s">
        <v>2584</v>
      </c>
      <c r="M450" s="18">
        <v>1.3E7</v>
      </c>
      <c r="N450" s="3">
        <f>STANDARDIZE(M450,Profiling!$C$2, Profiling!$B$2)</f>
        <v>-0.7291143131</v>
      </c>
      <c r="O450" s="18">
        <v>1.35E7</v>
      </c>
      <c r="P450" s="3">
        <f>STANDARDIZE(O450,Profiling!$C$3, Profiling!$B$3)</f>
        <v>-0.7556839018</v>
      </c>
      <c r="Q450" s="3"/>
      <c r="R450" s="3"/>
    </row>
    <row r="451">
      <c r="A451" s="11" t="s">
        <v>2585</v>
      </c>
      <c r="B451" s="20">
        <v>42255.0</v>
      </c>
      <c r="C451" s="13" t="s">
        <v>2586</v>
      </c>
      <c r="D451" s="11" t="s">
        <v>18</v>
      </c>
      <c r="E451" s="11" t="s">
        <v>19</v>
      </c>
      <c r="F451" s="15" t="s">
        <v>196</v>
      </c>
      <c r="G451" s="16"/>
      <c r="H451" s="7" t="s">
        <v>306</v>
      </c>
      <c r="I451" s="7" t="s">
        <v>2587</v>
      </c>
      <c r="J451" s="7" t="s">
        <v>2588</v>
      </c>
      <c r="K451" s="7" t="s">
        <v>2589</v>
      </c>
      <c r="L451" s="7" t="s">
        <v>2590</v>
      </c>
      <c r="M451" s="18">
        <v>5000000.0</v>
      </c>
      <c r="N451" s="3">
        <f>STANDARDIZE(M451,Profiling!$C$2, Profiling!$B$2)</f>
        <v>-0.8917205925</v>
      </c>
      <c r="O451" s="18">
        <v>9.85E7</v>
      </c>
      <c r="P451" s="3">
        <f>STANDARDIZE(O451,Profiling!$C$3, Profiling!$B$3)</f>
        <v>-0.2918505441</v>
      </c>
      <c r="Q451" s="3"/>
      <c r="R451" s="3"/>
    </row>
    <row r="452">
      <c r="A452" s="11" t="s">
        <v>2591</v>
      </c>
      <c r="B452" s="20">
        <v>42277.0</v>
      </c>
      <c r="C452" s="13" t="s">
        <v>2592</v>
      </c>
      <c r="D452" s="11" t="s">
        <v>24</v>
      </c>
      <c r="E452" s="17"/>
      <c r="F452" s="15" t="s">
        <v>805</v>
      </c>
      <c r="G452" s="16"/>
      <c r="H452" s="7" t="s">
        <v>1260</v>
      </c>
      <c r="I452" s="7" t="s">
        <v>1863</v>
      </c>
      <c r="J452" s="7" t="s">
        <v>67</v>
      </c>
      <c r="K452" s="7" t="s">
        <v>2593</v>
      </c>
      <c r="L452" s="17"/>
      <c r="M452" s="18">
        <v>4.5E7</v>
      </c>
      <c r="N452" s="3">
        <f>STANDARDIZE(M452,Profiling!$C$2, Profiling!$B$2)</f>
        <v>-0.07868919572</v>
      </c>
      <c r="O452" s="18">
        <v>6.12E7</v>
      </c>
      <c r="P452" s="3">
        <f>STANDARDIZE(O452,Profiling!$C$3, Profiling!$B$3)</f>
        <v>-0.4953915352</v>
      </c>
      <c r="Q452" s="3"/>
      <c r="R452" s="3"/>
    </row>
    <row r="453">
      <c r="A453" s="11" t="s">
        <v>2594</v>
      </c>
      <c r="B453" s="20">
        <v>41117.0</v>
      </c>
      <c r="C453" s="13" t="s">
        <v>2595</v>
      </c>
      <c r="D453" s="11" t="s">
        <v>17</v>
      </c>
      <c r="E453" s="17"/>
      <c r="F453" s="15" t="s">
        <v>1671</v>
      </c>
      <c r="G453" s="16"/>
      <c r="H453" s="7" t="s">
        <v>1466</v>
      </c>
      <c r="I453" s="7" t="s">
        <v>2304</v>
      </c>
      <c r="J453" s="7" t="s">
        <v>1188</v>
      </c>
      <c r="K453" s="7" t="s">
        <v>86</v>
      </c>
      <c r="L453" s="7" t="s">
        <v>2596</v>
      </c>
      <c r="M453" s="18">
        <v>6.8E7</v>
      </c>
      <c r="N453" s="3">
        <f>STANDARDIZE(M453,Profiling!$C$2, Profiling!$B$2)</f>
        <v>0.3888038574</v>
      </c>
      <c r="O453" s="18">
        <v>6.83E7</v>
      </c>
      <c r="P453" s="3">
        <f>STANDARDIZE(O453,Profiling!$C$3, Profiling!$B$3)</f>
        <v>-0.4566478077</v>
      </c>
      <c r="Q453" s="3"/>
      <c r="R453" s="3"/>
    </row>
    <row r="454">
      <c r="A454" s="11" t="s">
        <v>2597</v>
      </c>
      <c r="B454" s="20">
        <v>41999.0</v>
      </c>
      <c r="C454" s="13" t="s">
        <v>2598</v>
      </c>
      <c r="D454" s="11" t="s">
        <v>20</v>
      </c>
      <c r="E454" s="11"/>
      <c r="F454" s="15" t="s">
        <v>1233</v>
      </c>
      <c r="G454" s="16"/>
      <c r="H454" s="7" t="s">
        <v>2599</v>
      </c>
      <c r="I454" s="7" t="s">
        <v>2600</v>
      </c>
      <c r="J454" s="7" t="s">
        <v>2601</v>
      </c>
      <c r="K454" s="17"/>
      <c r="L454" s="17"/>
      <c r="M454" s="18">
        <v>2.25E7</v>
      </c>
      <c r="N454" s="3">
        <f>STANDARDIZE(M454,Profiling!$C$2, Profiling!$B$2)</f>
        <v>-0.5360193564</v>
      </c>
      <c r="O454" s="18">
        <v>3.08E7</v>
      </c>
      <c r="P454" s="3">
        <f>STANDARDIZE(O454,Profiling!$C$3, Profiling!$B$3)</f>
        <v>-0.6612801713</v>
      </c>
      <c r="Q454" s="3"/>
      <c r="R454" s="3"/>
    </row>
    <row r="455">
      <c r="A455" s="11" t="s">
        <v>2602</v>
      </c>
      <c r="B455" s="20">
        <v>41460.0</v>
      </c>
      <c r="C455" s="13" t="s">
        <v>2603</v>
      </c>
      <c r="D455" s="25" t="s">
        <v>17</v>
      </c>
      <c r="E455" s="28" t="s">
        <v>20</v>
      </c>
      <c r="F455" s="15" t="s">
        <v>2604</v>
      </c>
      <c r="G455" s="15" t="s">
        <v>2605</v>
      </c>
      <c r="H455" s="7" t="s">
        <v>627</v>
      </c>
      <c r="I455" s="7" t="s">
        <v>146</v>
      </c>
      <c r="J455" s="7" t="s">
        <v>173</v>
      </c>
      <c r="K455" s="7" t="s">
        <v>2606</v>
      </c>
      <c r="L455" s="7" t="s">
        <v>1657</v>
      </c>
      <c r="M455" s="18">
        <v>5000000.0</v>
      </c>
      <c r="N455" s="3">
        <f>STANDARDIZE(M455,Profiling!$C$2, Profiling!$B$2)</f>
        <v>-0.8917205925</v>
      </c>
      <c r="O455" s="18">
        <v>5000000.0</v>
      </c>
      <c r="P455" s="3">
        <f>STANDARDIZE(O455,Profiling!$C$3, Profiling!$B$3)</f>
        <v>-0.8020672375</v>
      </c>
      <c r="Q455" s="3"/>
      <c r="R455" s="3"/>
    </row>
    <row r="456">
      <c r="A456" s="11" t="s">
        <v>2607</v>
      </c>
      <c r="B456" s="20">
        <v>42020.0</v>
      </c>
      <c r="C456" s="13" t="s">
        <v>2608</v>
      </c>
      <c r="D456" s="11" t="s">
        <v>22</v>
      </c>
      <c r="E456" s="11" t="s">
        <v>17</v>
      </c>
      <c r="F456" s="15" t="s">
        <v>2609</v>
      </c>
      <c r="G456" s="16"/>
      <c r="H456" s="7" t="s">
        <v>479</v>
      </c>
      <c r="I456" s="7" t="s">
        <v>1158</v>
      </c>
      <c r="J456" s="7" t="s">
        <v>2610</v>
      </c>
      <c r="K456" s="7" t="s">
        <v>2611</v>
      </c>
      <c r="L456" s="7" t="s">
        <v>2010</v>
      </c>
      <c r="M456" s="18">
        <v>2.3E7</v>
      </c>
      <c r="N456" s="3">
        <f>STANDARDIZE(M456,Profiling!$C$2, Profiling!$B$2)</f>
        <v>-0.5258564639</v>
      </c>
      <c r="O456" s="18">
        <v>7.98E7</v>
      </c>
      <c r="P456" s="3">
        <f>STANDARDIZE(O456,Profiling!$C$3, Profiling!$B$3)</f>
        <v>-0.3938938828</v>
      </c>
      <c r="Q456" s="3"/>
      <c r="R456" s="3"/>
    </row>
    <row r="457">
      <c r="A457" s="11" t="s">
        <v>2612</v>
      </c>
      <c r="B457" s="20">
        <v>42396.0</v>
      </c>
      <c r="C457" s="13" t="s">
        <v>2613</v>
      </c>
      <c r="D457" s="11" t="s">
        <v>18</v>
      </c>
      <c r="E457" s="17"/>
      <c r="F457" s="15" t="s">
        <v>2614</v>
      </c>
      <c r="G457" s="16"/>
      <c r="H457" s="7" t="s">
        <v>2615</v>
      </c>
      <c r="I457" s="7" t="s">
        <v>2616</v>
      </c>
      <c r="J457" s="7" t="s">
        <v>2617</v>
      </c>
      <c r="K457" s="17"/>
      <c r="L457" s="17"/>
      <c r="M457" s="18">
        <v>3000000.0</v>
      </c>
      <c r="N457" s="3">
        <f>STANDARDIZE(M457,Profiling!$C$2, Profiling!$B$2)</f>
        <v>-0.9323721623</v>
      </c>
      <c r="O457" s="18">
        <v>4.04E7</v>
      </c>
      <c r="P457" s="3">
        <f>STANDARDIZE(O457,Profiling!$C$3, Profiling!$B$3)</f>
        <v>-0.6088942862</v>
      </c>
      <c r="Q457" s="3"/>
      <c r="R457" s="3"/>
    </row>
    <row r="458">
      <c r="A458" s="11" t="s">
        <v>2618</v>
      </c>
      <c r="B458" s="20">
        <v>41479.0</v>
      </c>
      <c r="C458" s="13" t="s">
        <v>2619</v>
      </c>
      <c r="D458" s="11" t="s">
        <v>15</v>
      </c>
      <c r="E458" s="11" t="s">
        <v>10</v>
      </c>
      <c r="F458" s="15" t="s">
        <v>2620</v>
      </c>
      <c r="G458" s="16"/>
      <c r="H458" s="7" t="s">
        <v>493</v>
      </c>
      <c r="I458" s="7" t="s">
        <v>966</v>
      </c>
      <c r="J458" s="7" t="s">
        <v>2621</v>
      </c>
      <c r="K458" s="7" t="s">
        <v>2622</v>
      </c>
      <c r="L458" s="7" t="s">
        <v>2623</v>
      </c>
      <c r="M458" s="18">
        <v>1.2E8</v>
      </c>
      <c r="N458" s="3">
        <f>STANDARDIZE(M458,Profiling!$C$2, Profiling!$B$2)</f>
        <v>1.445744673</v>
      </c>
      <c r="O458" s="18">
        <v>4.148E8</v>
      </c>
      <c r="P458" s="3">
        <f>STANDARDIZE(O458,Profiling!$C$3, Profiling!$B$3)</f>
        <v>1.434155233</v>
      </c>
      <c r="Q458" s="3"/>
      <c r="R458" s="3"/>
    </row>
    <row r="459">
      <c r="A459" s="11" t="s">
        <v>2624</v>
      </c>
      <c r="B459" s="20">
        <v>40942.0</v>
      </c>
      <c r="C459" s="13" t="s">
        <v>2625</v>
      </c>
      <c r="D459" s="11" t="s">
        <v>18</v>
      </c>
      <c r="E459" s="11" t="s">
        <v>19</v>
      </c>
      <c r="F459" s="15" t="s">
        <v>2626</v>
      </c>
      <c r="G459" s="16"/>
      <c r="H459" s="7" t="s">
        <v>2627</v>
      </c>
      <c r="I459" s="7" t="s">
        <v>887</v>
      </c>
      <c r="J459" s="7" t="s">
        <v>1353</v>
      </c>
      <c r="K459" s="7" t="s">
        <v>2628</v>
      </c>
      <c r="L459" s="7" t="s">
        <v>2629</v>
      </c>
      <c r="M459" s="18">
        <v>1.5E7</v>
      </c>
      <c r="N459" s="3">
        <f>STANDARDIZE(M459,Profiling!$C$2, Profiling!$B$2)</f>
        <v>-0.6884627433</v>
      </c>
      <c r="O459" s="18">
        <v>1.285E8</v>
      </c>
      <c r="P459" s="3">
        <f>STANDARDIZE(O459,Profiling!$C$3, Profiling!$B$3)</f>
        <v>-0.1281446532</v>
      </c>
      <c r="Q459" s="3"/>
      <c r="R459" s="3"/>
    </row>
    <row r="460">
      <c r="A460" s="11" t="s">
        <v>2630</v>
      </c>
      <c r="B460" s="20">
        <v>42003.0</v>
      </c>
      <c r="C460" s="13" t="s">
        <v>2631</v>
      </c>
      <c r="D460" s="11" t="s">
        <v>18</v>
      </c>
      <c r="E460" s="17"/>
      <c r="F460" s="15" t="s">
        <v>2632</v>
      </c>
      <c r="G460" s="16"/>
      <c r="H460" s="7" t="s">
        <v>2633</v>
      </c>
      <c r="I460" s="7" t="s">
        <v>2634</v>
      </c>
      <c r="J460" s="7" t="s">
        <v>2635</v>
      </c>
      <c r="K460" s="7" t="s">
        <v>2636</v>
      </c>
      <c r="L460" s="7" t="s">
        <v>2637</v>
      </c>
      <c r="M460" s="18">
        <v>1.5E7</v>
      </c>
      <c r="N460" s="3">
        <f>STANDARDIZE(M460,Profiling!$C$2, Profiling!$B$2)</f>
        <v>-0.6884627433</v>
      </c>
      <c r="O460" s="18">
        <v>4.89E7</v>
      </c>
      <c r="P460" s="3">
        <f>STANDARDIZE(O460,Profiling!$C$3, Profiling!$B$3)</f>
        <v>-0.5625109505</v>
      </c>
      <c r="Q460" s="3"/>
      <c r="R460" s="3"/>
    </row>
    <row r="461">
      <c r="A461" s="11" t="s">
        <v>2638</v>
      </c>
      <c r="B461" s="20">
        <v>41474.0</v>
      </c>
      <c r="C461" s="13" t="s">
        <v>2639</v>
      </c>
      <c r="D461" s="11" t="s">
        <v>17</v>
      </c>
      <c r="E461" s="11" t="s">
        <v>14</v>
      </c>
      <c r="F461" s="15" t="s">
        <v>2640</v>
      </c>
      <c r="G461" s="16"/>
      <c r="H461" s="7" t="s">
        <v>1382</v>
      </c>
      <c r="I461" s="7" t="s">
        <v>2273</v>
      </c>
      <c r="J461" s="7" t="s">
        <v>2641</v>
      </c>
      <c r="K461" s="7" t="s">
        <v>2252</v>
      </c>
      <c r="L461" s="7" t="s">
        <v>2642</v>
      </c>
      <c r="M461" s="18">
        <v>2.0E7</v>
      </c>
      <c r="N461" s="3">
        <f>STANDARDIZE(M461,Profiling!$C$2, Profiling!$B$2)</f>
        <v>-0.5868338187</v>
      </c>
      <c r="O461" s="18">
        <v>4.61E7</v>
      </c>
      <c r="P461" s="3">
        <f>STANDARDIZE(O461,Profiling!$C$3, Profiling!$B$3)</f>
        <v>-0.577790167</v>
      </c>
      <c r="Q461" s="3"/>
      <c r="R461" s="3"/>
    </row>
    <row r="462">
      <c r="A462" s="11" t="s">
        <v>2643</v>
      </c>
      <c r="B462" s="20">
        <v>42440.0</v>
      </c>
      <c r="C462" s="13" t="s">
        <v>2644</v>
      </c>
      <c r="D462" s="25" t="s">
        <v>20</v>
      </c>
      <c r="E462" s="11"/>
      <c r="F462" s="15" t="s">
        <v>2645</v>
      </c>
      <c r="G462" s="16"/>
      <c r="H462" s="7" t="s">
        <v>2646</v>
      </c>
      <c r="I462" s="7" t="s">
        <v>1890</v>
      </c>
      <c r="J462" s="17"/>
      <c r="K462" s="17"/>
      <c r="L462" s="17"/>
      <c r="M462" s="18">
        <v>1.85E7</v>
      </c>
      <c r="N462" s="3">
        <f>STANDARDIZE(M462,Profiling!$C$2, Profiling!$B$2)</f>
        <v>-0.6173224961</v>
      </c>
      <c r="O462" s="18">
        <v>7200000.0</v>
      </c>
      <c r="P462" s="3">
        <f>STANDARDIZE(O462,Profiling!$C$3, Profiling!$B$3)</f>
        <v>-0.7900621389</v>
      </c>
      <c r="Q462" s="3"/>
      <c r="R462" s="3"/>
    </row>
    <row r="463">
      <c r="A463" s="11" t="s">
        <v>2647</v>
      </c>
      <c r="B463" s="20">
        <v>41019.0</v>
      </c>
      <c r="C463" s="13" t="s">
        <v>2648</v>
      </c>
      <c r="D463" s="11" t="s">
        <v>17</v>
      </c>
      <c r="E463" s="11" t="s">
        <v>22</v>
      </c>
      <c r="F463" s="15" t="s">
        <v>1769</v>
      </c>
      <c r="G463" s="16"/>
      <c r="H463" s="7" t="s">
        <v>479</v>
      </c>
      <c r="I463" s="7" t="s">
        <v>2441</v>
      </c>
      <c r="J463" s="7" t="s">
        <v>1484</v>
      </c>
      <c r="K463" s="7" t="s">
        <v>760</v>
      </c>
      <c r="L463" s="7" t="s">
        <v>2649</v>
      </c>
      <c r="M463" s="18">
        <v>1.2E7</v>
      </c>
      <c r="N463" s="3">
        <f>STANDARDIZE(M463,Profiling!$C$2, Profiling!$B$2)</f>
        <v>-0.749440098</v>
      </c>
      <c r="O463" s="18">
        <v>9.61E7</v>
      </c>
      <c r="P463" s="3">
        <f>STANDARDIZE(O463,Profiling!$C$3, Profiling!$B$3)</f>
        <v>-0.3049470154</v>
      </c>
      <c r="Q463" s="3"/>
      <c r="R463" s="3"/>
    </row>
    <row r="464">
      <c r="A464" s="11" t="s">
        <v>2650</v>
      </c>
      <c r="B464" s="20">
        <v>41437.0</v>
      </c>
      <c r="C464" s="13" t="s">
        <v>2651</v>
      </c>
      <c r="D464" s="11" t="s">
        <v>17</v>
      </c>
      <c r="E464" s="11" t="s">
        <v>14</v>
      </c>
      <c r="F464" s="15" t="s">
        <v>2308</v>
      </c>
      <c r="G464" s="15" t="s">
        <v>1214</v>
      </c>
      <c r="H464" s="7" t="s">
        <v>1214</v>
      </c>
      <c r="I464" s="7" t="s">
        <v>1026</v>
      </c>
      <c r="J464" s="7" t="s">
        <v>2309</v>
      </c>
      <c r="K464" s="7" t="s">
        <v>2652</v>
      </c>
      <c r="L464" s="7" t="s">
        <v>2058</v>
      </c>
      <c r="M464" s="18">
        <v>3.2E7</v>
      </c>
      <c r="N464" s="3">
        <f>STANDARDIZE(M464,Profiling!$C$2, Profiling!$B$2)</f>
        <v>-0.3429243997</v>
      </c>
      <c r="O464" s="18">
        <v>1.26E8</v>
      </c>
      <c r="P464" s="3">
        <f>STANDARDIZE(O464,Profiling!$C$3, Profiling!$B$3)</f>
        <v>-0.1417868108</v>
      </c>
      <c r="Q464" s="3"/>
      <c r="R464" s="3"/>
    </row>
    <row r="465">
      <c r="A465" s="11" t="s">
        <v>2653</v>
      </c>
      <c r="B465" s="20">
        <v>41901.0</v>
      </c>
      <c r="C465" s="13" t="s">
        <v>2654</v>
      </c>
      <c r="D465" s="11" t="s">
        <v>17</v>
      </c>
      <c r="E465" s="17"/>
      <c r="F465" s="15" t="s">
        <v>1465</v>
      </c>
      <c r="G465" s="16"/>
      <c r="H465" s="7" t="s">
        <v>1006</v>
      </c>
      <c r="I465" s="7" t="s">
        <v>1913</v>
      </c>
      <c r="J465" s="7" t="s">
        <v>2655</v>
      </c>
      <c r="K465" s="7" t="s">
        <v>1416</v>
      </c>
      <c r="L465" s="7" t="s">
        <v>282</v>
      </c>
      <c r="M465" s="18">
        <v>1.98E7</v>
      </c>
      <c r="N465" s="3">
        <f>STANDARDIZE(M465,Profiling!$C$2, Profiling!$B$2)</f>
        <v>-0.5908989757</v>
      </c>
      <c r="O465" s="18">
        <v>4.13E7</v>
      </c>
      <c r="P465" s="3">
        <f>STANDARDIZE(O465,Profiling!$C$3, Profiling!$B$3)</f>
        <v>-0.6039831095</v>
      </c>
      <c r="Q465" s="3"/>
      <c r="R465" s="3"/>
    </row>
    <row r="466">
      <c r="A466" s="11" t="s">
        <v>2656</v>
      </c>
      <c r="B466" s="20">
        <v>40956.0</v>
      </c>
      <c r="C466" s="13" t="s">
        <v>2657</v>
      </c>
      <c r="D466" s="11" t="s">
        <v>15</v>
      </c>
      <c r="E466" s="11" t="s">
        <v>22</v>
      </c>
      <c r="F466" s="15" t="s">
        <v>2658</v>
      </c>
      <c r="G466" s="16"/>
      <c r="H466" s="7" t="s">
        <v>518</v>
      </c>
      <c r="I466" s="7" t="s">
        <v>1121</v>
      </c>
      <c r="J466" s="7" t="s">
        <v>1013</v>
      </c>
      <c r="K466" s="7" t="s">
        <v>842</v>
      </c>
      <c r="L466" s="7" t="s">
        <v>2659</v>
      </c>
      <c r="M466" s="18">
        <v>6.5E7</v>
      </c>
      <c r="N466" s="3">
        <f>STANDARDIZE(M466,Profiling!$C$2, Profiling!$B$2)</f>
        <v>0.3278265027</v>
      </c>
      <c r="O466" s="18">
        <v>1.565E8</v>
      </c>
      <c r="P466" s="3">
        <f>STANDARDIZE(O466,Profiling!$C$3, Profiling!$B$3)</f>
        <v>0.02464751167</v>
      </c>
      <c r="Q466" s="3"/>
      <c r="R466" s="3"/>
    </row>
    <row r="467">
      <c r="A467" s="11" t="s">
        <v>2660</v>
      </c>
      <c r="B467" s="20">
        <v>41888.0</v>
      </c>
      <c r="C467" s="13" t="s">
        <v>2661</v>
      </c>
      <c r="D467" s="11" t="s">
        <v>17</v>
      </c>
      <c r="E467" s="17"/>
      <c r="F467" s="15" t="s">
        <v>944</v>
      </c>
      <c r="G467" s="16"/>
      <c r="H467" s="7" t="s">
        <v>944</v>
      </c>
      <c r="I467" s="7" t="s">
        <v>484</v>
      </c>
      <c r="J467" s="7" t="s">
        <v>2662</v>
      </c>
      <c r="K467" s="7" t="s">
        <v>2663</v>
      </c>
      <c r="L467" s="7" t="s">
        <v>2664</v>
      </c>
      <c r="M467" s="18">
        <v>1.2E7</v>
      </c>
      <c r="N467" s="3">
        <f>STANDARDIZE(M467,Profiling!$C$2, Profiling!$B$2)</f>
        <v>-0.749440098</v>
      </c>
      <c r="O467" s="18">
        <v>2.61E7</v>
      </c>
      <c r="P467" s="3">
        <f>STANDARDIZE(O467,Profiling!$C$3, Profiling!$B$3)</f>
        <v>-0.6869274276</v>
      </c>
      <c r="Q467" s="3"/>
      <c r="R467" s="3"/>
    </row>
    <row r="468">
      <c r="A468" s="11" t="s">
        <v>2665</v>
      </c>
      <c r="B468" s="20">
        <v>41313.0</v>
      </c>
      <c r="C468" s="13" t="s">
        <v>2666</v>
      </c>
      <c r="D468" s="11" t="s">
        <v>15</v>
      </c>
      <c r="E468" s="17"/>
      <c r="F468" s="15" t="s">
        <v>2667</v>
      </c>
      <c r="G468" s="16"/>
      <c r="H468" s="7" t="s">
        <v>727</v>
      </c>
      <c r="I468" s="7" t="s">
        <v>2668</v>
      </c>
      <c r="J468" s="7" t="s">
        <v>2669</v>
      </c>
      <c r="K468" s="7" t="s">
        <v>2670</v>
      </c>
      <c r="L468" s="7" t="s">
        <v>2671</v>
      </c>
      <c r="M468" s="18">
        <v>1.5E7</v>
      </c>
      <c r="N468" s="3">
        <f>STANDARDIZE(M468,Profiling!$C$2, Profiling!$B$2)</f>
        <v>-0.6884627433</v>
      </c>
      <c r="O468" s="18">
        <v>3.568E8</v>
      </c>
      <c r="P468" s="3">
        <f>STANDARDIZE(O468,Profiling!$C$3, Profiling!$B$3)</f>
        <v>1.117657177</v>
      </c>
      <c r="Q468" s="3"/>
      <c r="R468" s="3"/>
    </row>
    <row r="469">
      <c r="A469" s="11" t="s">
        <v>2672</v>
      </c>
      <c r="B469" s="20">
        <v>41124.0</v>
      </c>
      <c r="C469" s="13" t="s">
        <v>2673</v>
      </c>
      <c r="D469" s="11" t="s">
        <v>15</v>
      </c>
      <c r="E469" s="11" t="s">
        <v>14</v>
      </c>
      <c r="F469" s="15" t="s">
        <v>2674</v>
      </c>
      <c r="G469" s="16"/>
      <c r="H469" s="7" t="s">
        <v>602</v>
      </c>
      <c r="I469" s="7" t="s">
        <v>2675</v>
      </c>
      <c r="J469" s="7" t="s">
        <v>288</v>
      </c>
      <c r="K469" s="7" t="s">
        <v>2676</v>
      </c>
      <c r="L469" s="7" t="s">
        <v>2063</v>
      </c>
      <c r="M469" s="18">
        <v>1.25E8</v>
      </c>
      <c r="N469" s="3">
        <f>STANDARDIZE(M469,Profiling!$C$2, Profiling!$B$2)</f>
        <v>1.547373598</v>
      </c>
      <c r="O469" s="18">
        <v>1.985E8</v>
      </c>
      <c r="P469" s="3">
        <f>STANDARDIZE(O469,Profiling!$C$3, Profiling!$B$3)</f>
        <v>0.253835759</v>
      </c>
      <c r="Q469" s="3"/>
      <c r="R469" s="3"/>
    </row>
    <row r="470">
      <c r="A470" s="11" t="s">
        <v>2677</v>
      </c>
      <c r="B470" s="20">
        <v>41360.0</v>
      </c>
      <c r="C470" s="13" t="s">
        <v>2678</v>
      </c>
      <c r="D470" s="11" t="s">
        <v>25</v>
      </c>
      <c r="E470" s="17"/>
      <c r="F470" s="15" t="s">
        <v>1972</v>
      </c>
      <c r="G470" s="16"/>
      <c r="H470" s="7" t="s">
        <v>2679</v>
      </c>
      <c r="I470" s="7" t="s">
        <v>1133</v>
      </c>
      <c r="J470" s="7" t="s">
        <v>484</v>
      </c>
      <c r="K470" s="7" t="s">
        <v>2680</v>
      </c>
      <c r="L470" s="7" t="s">
        <v>2681</v>
      </c>
      <c r="M470" s="18">
        <v>2.0E7</v>
      </c>
      <c r="N470" s="3">
        <f>STANDARDIZE(M470,Profiling!$C$2, Profiling!$B$2)</f>
        <v>-0.5868338187</v>
      </c>
      <c r="O470" s="18">
        <v>2.43E7</v>
      </c>
      <c r="P470" s="3">
        <f>STANDARDIZE(O470,Profiling!$C$3, Profiling!$B$3)</f>
        <v>-0.696749781</v>
      </c>
      <c r="Q470" s="3"/>
      <c r="R470" s="3"/>
    </row>
    <row r="471">
      <c r="A471" s="11" t="s">
        <v>2682</v>
      </c>
      <c r="B471" s="20">
        <v>41739.0</v>
      </c>
      <c r="C471" s="13" t="s">
        <v>2683</v>
      </c>
      <c r="D471" s="11" t="s">
        <v>14</v>
      </c>
      <c r="E471" s="11" t="s">
        <v>19</v>
      </c>
      <c r="F471" s="15" t="s">
        <v>2684</v>
      </c>
      <c r="G471" s="16"/>
      <c r="H471" s="7" t="s">
        <v>382</v>
      </c>
      <c r="I471" s="7" t="s">
        <v>2685</v>
      </c>
      <c r="J471" s="7" t="s">
        <v>2214</v>
      </c>
      <c r="K471" s="7" t="s">
        <v>465</v>
      </c>
      <c r="L471" s="7" t="s">
        <v>362</v>
      </c>
      <c r="M471" s="18">
        <v>1.0E8</v>
      </c>
      <c r="N471" s="3">
        <f>STANDARDIZE(M471,Profiling!$C$2, Profiling!$B$2)</f>
        <v>1.039228975</v>
      </c>
      <c r="O471" s="18">
        <v>1.03E8</v>
      </c>
      <c r="P471" s="3">
        <f>STANDARDIZE(O471,Profiling!$C$3, Profiling!$B$3)</f>
        <v>-0.2672946605</v>
      </c>
      <c r="Q471" s="3"/>
      <c r="R471" s="3"/>
    </row>
    <row r="472">
      <c r="A472" s="11" t="s">
        <v>2686</v>
      </c>
      <c r="B472" s="20">
        <v>42416.0</v>
      </c>
      <c r="C472" s="13" t="s">
        <v>2687</v>
      </c>
      <c r="D472" s="11" t="s">
        <v>25</v>
      </c>
      <c r="E472" s="11" t="s">
        <v>20</v>
      </c>
      <c r="F472" s="15" t="s">
        <v>2688</v>
      </c>
      <c r="G472" s="16"/>
      <c r="H472" s="7" t="s">
        <v>653</v>
      </c>
      <c r="I472" s="7" t="s">
        <v>1509</v>
      </c>
      <c r="J472" s="7" t="s">
        <v>562</v>
      </c>
      <c r="K472" s="7" t="s">
        <v>192</v>
      </c>
      <c r="L472" s="7" t="s">
        <v>1251</v>
      </c>
      <c r="M472" s="18">
        <v>2.0E7</v>
      </c>
      <c r="N472" s="3">
        <f>STANDARDIZE(M472,Profiling!$C$2, Profiling!$B$2)</f>
        <v>-0.5868338187</v>
      </c>
      <c r="O472" s="18">
        <v>2.34E7</v>
      </c>
      <c r="P472" s="3">
        <f>STANDARDIZE(O472,Profiling!$C$3, Profiling!$B$3)</f>
        <v>-0.7016609578</v>
      </c>
      <c r="Q472" s="3"/>
      <c r="R472" s="3"/>
    </row>
    <row r="473">
      <c r="A473" s="11" t="s">
        <v>2689</v>
      </c>
      <c r="B473" s="20">
        <v>41173.0</v>
      </c>
      <c r="C473" s="13" t="s">
        <v>2690</v>
      </c>
      <c r="D473" s="11" t="s">
        <v>20</v>
      </c>
      <c r="E473" s="11" t="s">
        <v>27</v>
      </c>
      <c r="F473" s="15" t="s">
        <v>2691</v>
      </c>
      <c r="G473" s="16"/>
      <c r="H473" s="7" t="s">
        <v>242</v>
      </c>
      <c r="I473" s="7" t="s">
        <v>316</v>
      </c>
      <c r="J473" s="7" t="s">
        <v>2692</v>
      </c>
      <c r="K473" s="7" t="s">
        <v>1825</v>
      </c>
      <c r="L473" s="7" t="s">
        <v>61</v>
      </c>
      <c r="M473" s="18">
        <v>6.0E7</v>
      </c>
      <c r="N473" s="3">
        <f>STANDARDIZE(M473,Profiling!$C$2, Profiling!$B$2)</f>
        <v>0.2261975781</v>
      </c>
      <c r="O473" s="18">
        <v>4.9E7</v>
      </c>
      <c r="P473" s="3">
        <f>STANDARDIZE(O473,Profiling!$C$3, Profiling!$B$3)</f>
        <v>-0.5619652642</v>
      </c>
      <c r="Q473" s="3"/>
      <c r="R473" s="3"/>
    </row>
    <row r="474">
      <c r="A474" s="11" t="s">
        <v>2693</v>
      </c>
      <c r="B474" s="20">
        <v>42259.0</v>
      </c>
      <c r="C474" s="13" t="s">
        <v>2694</v>
      </c>
      <c r="D474" s="11" t="s">
        <v>20</v>
      </c>
      <c r="E474" s="17"/>
      <c r="F474" s="15" t="s">
        <v>2119</v>
      </c>
      <c r="G474" s="16"/>
      <c r="H474" s="7" t="s">
        <v>288</v>
      </c>
      <c r="I474" s="7" t="s">
        <v>317</v>
      </c>
      <c r="J474" s="7" t="s">
        <v>790</v>
      </c>
      <c r="K474" s="7" t="s">
        <v>61</v>
      </c>
      <c r="L474" s="7" t="s">
        <v>2090</v>
      </c>
      <c r="M474" s="18">
        <v>1.5E7</v>
      </c>
      <c r="N474" s="3">
        <f>STANDARDIZE(M474,Profiling!$C$2, Profiling!$B$2)</f>
        <v>-0.6884627433</v>
      </c>
      <c r="O474" s="18">
        <v>8199999.999999999</v>
      </c>
      <c r="P474" s="3">
        <f>STANDARDIZE(O474,Profiling!$C$3, Profiling!$B$3)</f>
        <v>-0.7846052758</v>
      </c>
      <c r="Q474" s="3"/>
      <c r="R474" s="3"/>
    </row>
    <row r="475">
      <c r="A475" s="11" t="s">
        <v>2695</v>
      </c>
      <c r="B475" s="20">
        <v>42259.0</v>
      </c>
      <c r="C475" s="13" t="s">
        <v>2696</v>
      </c>
      <c r="D475" s="25" t="s">
        <v>20</v>
      </c>
      <c r="E475" s="11"/>
      <c r="F475" s="15" t="s">
        <v>2697</v>
      </c>
      <c r="G475" s="16"/>
      <c r="H475" s="7" t="s">
        <v>184</v>
      </c>
      <c r="I475" s="7" t="s">
        <v>404</v>
      </c>
      <c r="J475" s="7" t="s">
        <v>2698</v>
      </c>
      <c r="K475" s="7" t="s">
        <v>252</v>
      </c>
      <c r="L475" s="7" t="s">
        <v>2699</v>
      </c>
      <c r="M475" s="18">
        <v>9600000.0</v>
      </c>
      <c r="N475" s="3">
        <f>STANDARDIZE(M475,Profiling!$C$2, Profiling!$B$2)</f>
        <v>-0.7982219818</v>
      </c>
      <c r="O475" s="18">
        <v>5400000.0</v>
      </c>
      <c r="P475" s="3">
        <f>STANDARDIZE(O475,Profiling!$C$3, Profiling!$B$3)</f>
        <v>-0.7998844923</v>
      </c>
      <c r="Q475" s="3"/>
      <c r="R475" s="3"/>
    </row>
    <row r="476">
      <c r="A476" s="11" t="s">
        <v>2700</v>
      </c>
      <c r="B476" s="20">
        <v>41472.0</v>
      </c>
      <c r="C476" s="13" t="s">
        <v>2701</v>
      </c>
      <c r="D476" s="11" t="s">
        <v>17</v>
      </c>
      <c r="E476" s="11" t="s">
        <v>11</v>
      </c>
      <c r="F476" s="15" t="s">
        <v>2702</v>
      </c>
      <c r="G476" s="16"/>
      <c r="H476" s="7" t="s">
        <v>607</v>
      </c>
      <c r="I476" s="7" t="s">
        <v>1732</v>
      </c>
      <c r="J476" s="7" t="s">
        <v>283</v>
      </c>
      <c r="K476" s="7" t="s">
        <v>1171</v>
      </c>
      <c r="L476" s="7" t="s">
        <v>542</v>
      </c>
      <c r="M476" s="18">
        <v>1.27E8</v>
      </c>
      <c r="N476" s="3">
        <f>STANDARDIZE(M476,Profiling!$C$2, Profiling!$B$2)</f>
        <v>1.588025168</v>
      </c>
      <c r="O476" s="18">
        <v>2.826E8</v>
      </c>
      <c r="P476" s="3">
        <f>STANDARDIZE(O476,Profiling!$C$3, Profiling!$B$3)</f>
        <v>0.7127579399</v>
      </c>
      <c r="Q476" s="3"/>
      <c r="R476" s="3"/>
    </row>
    <row r="477">
      <c r="A477" s="11" t="s">
        <v>2703</v>
      </c>
      <c r="B477" s="20">
        <v>41888.0</v>
      </c>
      <c r="C477" s="13" t="s">
        <v>2704</v>
      </c>
      <c r="D477" s="11" t="s">
        <v>18</v>
      </c>
      <c r="E477" s="17"/>
      <c r="F477" s="15" t="s">
        <v>2705</v>
      </c>
      <c r="G477" s="16"/>
      <c r="H477" s="7" t="s">
        <v>2706</v>
      </c>
      <c r="I477" s="7" t="s">
        <v>2707</v>
      </c>
      <c r="J477" s="7" t="s">
        <v>2708</v>
      </c>
      <c r="K477" s="7" t="s">
        <v>2709</v>
      </c>
      <c r="L477" s="7" t="s">
        <v>382</v>
      </c>
      <c r="M477" s="18">
        <v>3000000.0</v>
      </c>
      <c r="N477" s="3">
        <f>STANDARDIZE(M477,Profiling!$C$2, Profiling!$B$2)</f>
        <v>-0.9323721623</v>
      </c>
      <c r="O477" s="18">
        <v>1900000.0</v>
      </c>
      <c r="P477" s="3">
        <f>STANDARDIZE(O477,Profiling!$C$3, Profiling!$B$3)</f>
        <v>-0.8189835129</v>
      </c>
      <c r="Q477" s="3"/>
      <c r="R477" s="3"/>
    </row>
    <row r="478">
      <c r="A478" s="11" t="s">
        <v>2710</v>
      </c>
      <c r="B478" s="20">
        <v>41960.0</v>
      </c>
      <c r="C478" s="13" t="s">
        <v>2711</v>
      </c>
      <c r="D478" s="11" t="s">
        <v>20</v>
      </c>
      <c r="E478" s="11"/>
      <c r="F478" s="15" t="s">
        <v>450</v>
      </c>
      <c r="G478" s="16"/>
      <c r="H478" s="7" t="s">
        <v>112</v>
      </c>
      <c r="I478" s="7" t="s">
        <v>2600</v>
      </c>
      <c r="J478" s="7" t="s">
        <v>432</v>
      </c>
      <c r="K478" s="7" t="s">
        <v>1563</v>
      </c>
      <c r="L478" s="7" t="s">
        <v>127</v>
      </c>
      <c r="M478" s="18">
        <v>6.5E7</v>
      </c>
      <c r="N478" s="3">
        <f>STANDARDIZE(M478,Profiling!$C$2, Profiling!$B$2)</f>
        <v>0.3278265027</v>
      </c>
      <c r="O478" s="18">
        <v>1.634E8</v>
      </c>
      <c r="P478" s="3">
        <f>STANDARDIZE(O478,Profiling!$C$3, Profiling!$B$3)</f>
        <v>0.06229986659</v>
      </c>
      <c r="Q478" s="3"/>
      <c r="R478" s="3"/>
    </row>
    <row r="479">
      <c r="A479" s="11" t="s">
        <v>2712</v>
      </c>
      <c r="B479" s="20">
        <v>42069.0</v>
      </c>
      <c r="C479" s="13" t="s">
        <v>2713</v>
      </c>
      <c r="D479" s="11" t="s">
        <v>17</v>
      </c>
      <c r="E479" s="17"/>
      <c r="F479" s="15" t="s">
        <v>2714</v>
      </c>
      <c r="G479" s="16"/>
      <c r="H479" s="7" t="s">
        <v>2304</v>
      </c>
      <c r="I479" s="7" t="s">
        <v>1869</v>
      </c>
      <c r="J479" s="7" t="s">
        <v>1452</v>
      </c>
      <c r="K479" s="7" t="s">
        <v>243</v>
      </c>
      <c r="L479" s="7" t="s">
        <v>2273</v>
      </c>
      <c r="M479" s="18">
        <v>3.5E7</v>
      </c>
      <c r="N479" s="3">
        <f>STANDARDIZE(M479,Profiling!$C$2, Profiling!$B$2)</f>
        <v>-0.2819470449</v>
      </c>
      <c r="O479" s="18">
        <v>1.44E7</v>
      </c>
      <c r="P479" s="3">
        <f>STANDARDIZE(O479,Profiling!$C$3, Profiling!$B$3)</f>
        <v>-0.750772725</v>
      </c>
      <c r="Q479" s="3"/>
      <c r="R479" s="3"/>
    </row>
    <row r="480">
      <c r="A480" s="11" t="s">
        <v>2715</v>
      </c>
      <c r="B480" s="20">
        <v>41840.0</v>
      </c>
      <c r="C480" s="13" t="s">
        <v>2716</v>
      </c>
      <c r="D480" s="11" t="s">
        <v>18</v>
      </c>
      <c r="E480" s="17"/>
      <c r="F480" s="15" t="s">
        <v>2717</v>
      </c>
      <c r="G480" s="16"/>
      <c r="H480" s="7" t="s">
        <v>2718</v>
      </c>
      <c r="I480" s="7" t="s">
        <v>2719</v>
      </c>
      <c r="J480" s="7" t="s">
        <v>2720</v>
      </c>
      <c r="K480" s="7" t="s">
        <v>2721</v>
      </c>
      <c r="L480" s="17"/>
      <c r="M480" s="18">
        <v>1000000.0</v>
      </c>
      <c r="N480" s="3">
        <f>STANDARDIZE(M480,Profiling!$C$2, Profiling!$B$2)</f>
        <v>-0.9730237321</v>
      </c>
      <c r="O480" s="18">
        <v>6.409999999999999E7</v>
      </c>
      <c r="P480" s="3">
        <f>STANDARDIZE(O480,Profiling!$C$3, Profiling!$B$3)</f>
        <v>-0.4795666324</v>
      </c>
      <c r="Q480" s="3"/>
      <c r="R480" s="3"/>
    </row>
    <row r="481">
      <c r="A481" s="11" t="s">
        <v>2722</v>
      </c>
      <c r="B481" s="20">
        <v>42214.0</v>
      </c>
      <c r="C481" s="13" t="s">
        <v>2723</v>
      </c>
      <c r="D481" s="11" t="s">
        <v>10</v>
      </c>
      <c r="E481" s="11" t="s">
        <v>17</v>
      </c>
      <c r="F481" s="15" t="s">
        <v>2724</v>
      </c>
      <c r="G481" s="15" t="s">
        <v>2725</v>
      </c>
      <c r="H481" s="7" t="s">
        <v>682</v>
      </c>
      <c r="I481" s="7" t="s">
        <v>303</v>
      </c>
      <c r="J481" s="7" t="s">
        <v>1777</v>
      </c>
      <c r="K481" s="7" t="s">
        <v>389</v>
      </c>
      <c r="L481" s="7" t="s">
        <v>1007</v>
      </c>
      <c r="M481" s="18">
        <v>3.1E7</v>
      </c>
      <c r="N481" s="3">
        <f>STANDARDIZE(M481,Profiling!$C$2, Profiling!$B$2)</f>
        <v>-0.3632501846</v>
      </c>
      <c r="O481" s="18">
        <v>1.049E8</v>
      </c>
      <c r="P481" s="3">
        <f>STANDARDIZE(O481,Profiling!$C$3, Profiling!$B$3)</f>
        <v>-0.2569266207</v>
      </c>
      <c r="Q481" s="3"/>
      <c r="R481" s="3"/>
    </row>
    <row r="482">
      <c r="A482" s="11" t="s">
        <v>2726</v>
      </c>
      <c r="B482" s="20">
        <v>41677.0</v>
      </c>
      <c r="C482" s="13" t="s">
        <v>2727</v>
      </c>
      <c r="D482" s="11" t="s">
        <v>15</v>
      </c>
      <c r="E482" s="11" t="s">
        <v>22</v>
      </c>
      <c r="F482" s="15" t="s">
        <v>2728</v>
      </c>
      <c r="G482" s="16"/>
      <c r="H482" s="7" t="s">
        <v>2729</v>
      </c>
      <c r="I482" s="7" t="s">
        <v>2152</v>
      </c>
      <c r="J482" s="7" t="s">
        <v>2730</v>
      </c>
      <c r="K482" s="17"/>
      <c r="L482" s="17"/>
      <c r="M482" s="18">
        <v>3.0E7</v>
      </c>
      <c r="N482" s="3">
        <f>STANDARDIZE(M482,Profiling!$C$2, Profiling!$B$2)</f>
        <v>-0.3835759695</v>
      </c>
      <c r="O482" s="18">
        <v>1.54E7</v>
      </c>
      <c r="P482" s="3">
        <f>STANDARDIZE(O482,Profiling!$C$3, Profiling!$B$3)</f>
        <v>-0.745315862</v>
      </c>
      <c r="Q482" s="3"/>
      <c r="R482" s="3"/>
    </row>
    <row r="483">
      <c r="A483" s="11" t="s">
        <v>2731</v>
      </c>
      <c r="B483" s="20">
        <v>41712.0</v>
      </c>
      <c r="C483" s="13" t="s">
        <v>2732</v>
      </c>
      <c r="D483" s="11" t="s">
        <v>16</v>
      </c>
      <c r="E483" s="11" t="s">
        <v>20</v>
      </c>
      <c r="F483" s="15" t="s">
        <v>2733</v>
      </c>
      <c r="G483" s="16"/>
      <c r="H483" s="7" t="s">
        <v>304</v>
      </c>
      <c r="I483" s="7" t="s">
        <v>2734</v>
      </c>
      <c r="J483" s="7" t="s">
        <v>376</v>
      </c>
      <c r="K483" s="7" t="s">
        <v>2735</v>
      </c>
      <c r="L483" s="7" t="s">
        <v>2736</v>
      </c>
      <c r="M483" s="18">
        <v>6000000.0</v>
      </c>
      <c r="N483" s="3">
        <f>STANDARDIZE(M483,Profiling!$C$2, Profiling!$B$2)</f>
        <v>-0.8713948075</v>
      </c>
      <c r="O483" s="18">
        <v>3500000.0</v>
      </c>
      <c r="P483" s="3">
        <f>STANDARDIZE(O483,Profiling!$C$3, Profiling!$B$3)</f>
        <v>-0.8102525321</v>
      </c>
      <c r="Q483" s="3"/>
      <c r="R483" s="3"/>
    </row>
    <row r="484">
      <c r="A484" s="11" t="s">
        <v>2737</v>
      </c>
      <c r="B484" s="20">
        <v>42333.0</v>
      </c>
      <c r="C484" s="13" t="s">
        <v>2738</v>
      </c>
      <c r="D484" s="11" t="s">
        <v>18</v>
      </c>
      <c r="E484" s="17"/>
      <c r="F484" s="15" t="s">
        <v>2739</v>
      </c>
      <c r="G484" s="16"/>
      <c r="H484" s="7" t="s">
        <v>2627</v>
      </c>
      <c r="I484" s="7" t="s">
        <v>2679</v>
      </c>
      <c r="J484" s="7" t="s">
        <v>2740</v>
      </c>
      <c r="K484" s="7" t="s">
        <v>2741</v>
      </c>
      <c r="L484" s="17"/>
      <c r="M484" s="18">
        <v>4.0E7</v>
      </c>
      <c r="N484" s="3">
        <f>STANDARDIZE(M484,Profiling!$C$2, Profiling!$B$2)</f>
        <v>-0.1803181203</v>
      </c>
      <c r="O484" s="18">
        <v>3.42E7</v>
      </c>
      <c r="P484" s="3">
        <f>STANDARDIZE(O484,Profiling!$C$3, Profiling!$B$3)</f>
        <v>-0.642726837</v>
      </c>
      <c r="Q484" s="3"/>
      <c r="R484" s="3"/>
    </row>
    <row r="485">
      <c r="A485" s="11" t="s">
        <v>2742</v>
      </c>
      <c r="B485" s="20">
        <v>40963.0</v>
      </c>
      <c r="C485" s="13" t="s">
        <v>2743</v>
      </c>
      <c r="D485" s="11" t="s">
        <v>17</v>
      </c>
      <c r="E485" s="17"/>
      <c r="F485" s="15" t="s">
        <v>2744</v>
      </c>
      <c r="G485" s="16"/>
      <c r="H485" s="7" t="s">
        <v>280</v>
      </c>
      <c r="I485" s="7" t="s">
        <v>1009</v>
      </c>
      <c r="J485" s="7" t="s">
        <v>2745</v>
      </c>
      <c r="K485" s="7" t="s">
        <v>2746</v>
      </c>
      <c r="L485" s="7" t="s">
        <v>2747</v>
      </c>
      <c r="M485" s="18">
        <v>3.5E7</v>
      </c>
      <c r="N485" s="3">
        <f>STANDARDIZE(M485,Profiling!$C$2, Profiling!$B$2)</f>
        <v>-0.2819470449</v>
      </c>
      <c r="O485" s="18">
        <v>2.42E7</v>
      </c>
      <c r="P485" s="3">
        <f>STANDARDIZE(O485,Profiling!$C$3, Profiling!$B$3)</f>
        <v>-0.6972954673</v>
      </c>
      <c r="Q485" s="3"/>
      <c r="R485" s="3"/>
    </row>
    <row r="486">
      <c r="A486" s="11" t="s">
        <v>2748</v>
      </c>
      <c r="B486" s="20">
        <v>42601.0</v>
      </c>
      <c r="C486" s="13" t="s">
        <v>2749</v>
      </c>
      <c r="D486" s="11" t="s">
        <v>25</v>
      </c>
      <c r="E486" s="11" t="s">
        <v>17</v>
      </c>
      <c r="F486" s="15" t="s">
        <v>2237</v>
      </c>
      <c r="G486" s="16"/>
      <c r="H486" s="7" t="s">
        <v>86</v>
      </c>
      <c r="I486" s="7" t="s">
        <v>795</v>
      </c>
      <c r="J486" s="7" t="s">
        <v>959</v>
      </c>
      <c r="K486" s="7" t="s">
        <v>2750</v>
      </c>
      <c r="L486" s="17"/>
      <c r="M486" s="18">
        <v>4.0E7</v>
      </c>
      <c r="N486" s="3">
        <f>STANDARDIZE(M486,Profiling!$C$2, Profiling!$B$2)</f>
        <v>-0.1803181203</v>
      </c>
      <c r="O486" s="18">
        <v>4.27E7</v>
      </c>
      <c r="P486" s="3">
        <f>STANDARDIZE(O486,Profiling!$C$3, Profiling!$B$3)</f>
        <v>-0.5963435013</v>
      </c>
      <c r="Q486" s="3"/>
      <c r="R486" s="3"/>
    </row>
    <row r="487">
      <c r="A487" s="11" t="s">
        <v>2751</v>
      </c>
      <c r="B487" s="20">
        <v>42244.0</v>
      </c>
      <c r="C487" s="13" t="s">
        <v>2752</v>
      </c>
      <c r="D487" s="11" t="s">
        <v>20</v>
      </c>
      <c r="E487" s="17"/>
      <c r="F487" s="15" t="s">
        <v>2753</v>
      </c>
      <c r="G487" s="16"/>
      <c r="H487" s="7" t="s">
        <v>2753</v>
      </c>
      <c r="I487" s="7" t="s">
        <v>2754</v>
      </c>
      <c r="J487" s="7" t="s">
        <v>2755</v>
      </c>
      <c r="K487" s="7" t="s">
        <v>2756</v>
      </c>
      <c r="L487" s="7" t="s">
        <v>2757</v>
      </c>
      <c r="M487" s="18">
        <v>3000000.0</v>
      </c>
      <c r="N487" s="3">
        <f>STANDARDIZE(M487,Profiling!$C$2, Profiling!$B$2)</f>
        <v>-0.9323721623</v>
      </c>
      <c r="O487" s="18">
        <v>7.37E7</v>
      </c>
      <c r="P487" s="3">
        <f>STANDARDIZE(O487,Profiling!$C$3, Profiling!$B$3)</f>
        <v>-0.4271807473</v>
      </c>
      <c r="Q487" s="3"/>
      <c r="R487" s="3"/>
    </row>
    <row r="488">
      <c r="A488" s="11" t="s">
        <v>2758</v>
      </c>
      <c r="B488" s="20">
        <v>42531.0</v>
      </c>
      <c r="C488" s="13" t="s">
        <v>2759</v>
      </c>
      <c r="D488" s="11" t="s">
        <v>15</v>
      </c>
      <c r="E488" s="11" t="s">
        <v>13</v>
      </c>
      <c r="F488" s="15" t="s">
        <v>2760</v>
      </c>
      <c r="G488" s="16"/>
      <c r="H488" s="7" t="s">
        <v>206</v>
      </c>
      <c r="I488" s="7" t="s">
        <v>2761</v>
      </c>
      <c r="J488" s="7" t="s">
        <v>78</v>
      </c>
      <c r="K488" s="7" t="s">
        <v>363</v>
      </c>
      <c r="L488" s="7" t="s">
        <v>191</v>
      </c>
      <c r="M488" s="18">
        <v>1.6E8</v>
      </c>
      <c r="N488" s="3">
        <f>STANDARDIZE(M488,Profiling!$C$2, Profiling!$B$2)</f>
        <v>2.25877607</v>
      </c>
      <c r="O488" s="18">
        <v>4.335E8</v>
      </c>
      <c r="P488" s="3">
        <f>STANDARDIZE(O488,Profiling!$C$3, Profiling!$B$3)</f>
        <v>1.536198571</v>
      </c>
      <c r="Q488" s="3"/>
      <c r="R488" s="3"/>
    </row>
    <row r="489">
      <c r="A489" s="11" t="s">
        <v>2762</v>
      </c>
      <c r="B489" s="20">
        <v>41306.0</v>
      </c>
      <c r="C489" s="13" t="s">
        <v>2763</v>
      </c>
      <c r="D489" s="11" t="s">
        <v>17</v>
      </c>
      <c r="E489" s="11" t="s">
        <v>18</v>
      </c>
      <c r="F489" s="15" t="s">
        <v>2409</v>
      </c>
      <c r="G489" s="16"/>
      <c r="H489" s="7" t="s">
        <v>1300</v>
      </c>
      <c r="I489" s="7" t="s">
        <v>1251</v>
      </c>
      <c r="J489" s="7" t="s">
        <v>772</v>
      </c>
      <c r="K489" s="7" t="s">
        <v>485</v>
      </c>
      <c r="L489" s="7" t="s">
        <v>2764</v>
      </c>
      <c r="M489" s="18">
        <v>3.5E7</v>
      </c>
      <c r="N489" s="3">
        <f>STANDARDIZE(M489,Profiling!$C$2, Profiling!$B$2)</f>
        <v>-0.2819470449</v>
      </c>
      <c r="O489" s="18">
        <v>1.17E8</v>
      </c>
      <c r="P489" s="3">
        <f>STANDARDIZE(O489,Profiling!$C$3, Profiling!$B$3)</f>
        <v>-0.1908985781</v>
      </c>
      <c r="Q489" s="3"/>
      <c r="R489" s="3"/>
    </row>
    <row r="490">
      <c r="A490" s="11" t="s">
        <v>2765</v>
      </c>
      <c r="B490" s="20">
        <v>41397.0</v>
      </c>
      <c r="C490" s="13" t="s">
        <v>2766</v>
      </c>
      <c r="D490" s="11" t="s">
        <v>20</v>
      </c>
      <c r="E490" s="17"/>
      <c r="F490" s="15" t="s">
        <v>2767</v>
      </c>
      <c r="G490" s="15" t="s">
        <v>2768</v>
      </c>
      <c r="H490" s="7" t="s">
        <v>1502</v>
      </c>
      <c r="I490" s="7" t="s">
        <v>2769</v>
      </c>
      <c r="J490" s="7" t="s">
        <v>337</v>
      </c>
      <c r="K490" s="7" t="s">
        <v>2770</v>
      </c>
      <c r="L490" s="7" t="s">
        <v>2771</v>
      </c>
      <c r="M490" s="18">
        <v>5000000.0</v>
      </c>
      <c r="N490" s="3">
        <f>STANDARDIZE(M490,Profiling!$C$2, Profiling!$B$2)</f>
        <v>-0.8917205925</v>
      </c>
      <c r="O490" s="18">
        <v>2700000.0</v>
      </c>
      <c r="P490" s="3">
        <f>STANDARDIZE(O490,Profiling!$C$3, Profiling!$B$3)</f>
        <v>-0.8146180225</v>
      </c>
      <c r="Q490" s="3"/>
      <c r="R490" s="3"/>
    </row>
    <row r="491">
      <c r="A491" s="11" t="s">
        <v>2772</v>
      </c>
      <c r="B491" s="20">
        <v>41047.0</v>
      </c>
      <c r="C491" s="13" t="s">
        <v>2773</v>
      </c>
      <c r="D491" s="11" t="s">
        <v>17</v>
      </c>
      <c r="E491" s="17"/>
      <c r="F491" s="15" t="s">
        <v>1438</v>
      </c>
      <c r="G491" s="16"/>
      <c r="H491" s="7" t="s">
        <v>274</v>
      </c>
      <c r="I491" s="7" t="s">
        <v>997</v>
      </c>
      <c r="J491" s="7" t="s">
        <v>339</v>
      </c>
      <c r="K491" s="7" t="s">
        <v>1325</v>
      </c>
      <c r="L491" s="7" t="s">
        <v>745</v>
      </c>
      <c r="M491" s="18">
        <v>4.0E7</v>
      </c>
      <c r="N491" s="3">
        <f>STANDARDIZE(M491,Profiling!$C$2, Profiling!$B$2)</f>
        <v>-0.1803181203</v>
      </c>
      <c r="O491" s="18">
        <v>8.44E7</v>
      </c>
      <c r="P491" s="3">
        <f>STANDARDIZE(O491,Profiling!$C$3, Profiling!$B$3)</f>
        <v>-0.3687923129</v>
      </c>
      <c r="Q491" s="3"/>
      <c r="R491" s="3"/>
    </row>
    <row r="492">
      <c r="A492" s="11" t="s">
        <v>2774</v>
      </c>
      <c r="B492" s="20">
        <v>41855.0</v>
      </c>
      <c r="C492" s="13" t="s">
        <v>2775</v>
      </c>
      <c r="D492" s="25" t="s">
        <v>26</v>
      </c>
      <c r="E492" s="11" t="s">
        <v>20</v>
      </c>
      <c r="F492" s="15" t="s">
        <v>2776</v>
      </c>
      <c r="G492" s="16"/>
      <c r="H492" s="7" t="s">
        <v>2777</v>
      </c>
      <c r="I492" s="7" t="s">
        <v>2778</v>
      </c>
      <c r="J492" s="7" t="s">
        <v>2779</v>
      </c>
      <c r="K492" s="7" t="s">
        <v>2780</v>
      </c>
      <c r="L492" s="17"/>
      <c r="M492" s="18">
        <v>1.5E7</v>
      </c>
      <c r="N492" s="3">
        <f>STANDARDIZE(M492,Profiling!$C$2, Profiling!$B$2)</f>
        <v>-0.6884627433</v>
      </c>
      <c r="O492" s="18">
        <v>3.01E7</v>
      </c>
      <c r="P492" s="3">
        <f>STANDARDIZE(O492,Profiling!$C$3, Profiling!$B$3)</f>
        <v>-0.6650999754</v>
      </c>
      <c r="Q492" s="3"/>
      <c r="R492" s="3"/>
    </row>
    <row r="493">
      <c r="A493" s="11" t="s">
        <v>2781</v>
      </c>
      <c r="B493" s="20">
        <v>41655.0</v>
      </c>
      <c r="C493" s="13" t="s">
        <v>2782</v>
      </c>
      <c r="D493" s="11" t="s">
        <v>20</v>
      </c>
      <c r="E493" s="17"/>
      <c r="F493" s="15" t="s">
        <v>2783</v>
      </c>
      <c r="G493" s="16"/>
      <c r="H493" s="7" t="s">
        <v>2022</v>
      </c>
      <c r="I493" s="7" t="s">
        <v>795</v>
      </c>
      <c r="J493" s="7" t="s">
        <v>549</v>
      </c>
      <c r="K493" s="7" t="s">
        <v>2784</v>
      </c>
      <c r="L493" s="17"/>
      <c r="M493" s="18">
        <v>3300000.0</v>
      </c>
      <c r="N493" s="3">
        <f>STANDARDIZE(M493,Profiling!$C$2, Profiling!$B$2)</f>
        <v>-0.9262744268</v>
      </c>
      <c r="O493" s="18">
        <v>4.9E7</v>
      </c>
      <c r="P493" s="3">
        <f>STANDARDIZE(O493,Profiling!$C$3, Profiling!$B$3)</f>
        <v>-0.5619652642</v>
      </c>
      <c r="Q493" s="3"/>
      <c r="R493" s="3"/>
    </row>
    <row r="494">
      <c r="A494" s="11" t="s">
        <v>2785</v>
      </c>
      <c r="B494" s="20">
        <v>42433.0</v>
      </c>
      <c r="C494" s="13" t="s">
        <v>2786</v>
      </c>
      <c r="D494" s="11" t="s">
        <v>20</v>
      </c>
      <c r="E494" s="11" t="s">
        <v>17</v>
      </c>
      <c r="F494" s="15" t="s">
        <v>2787</v>
      </c>
      <c r="G494" s="15" t="s">
        <v>2788</v>
      </c>
      <c r="H494" s="7" t="s">
        <v>1913</v>
      </c>
      <c r="I494" s="7" t="s">
        <v>1989</v>
      </c>
      <c r="J494" s="7" t="s">
        <v>2252</v>
      </c>
      <c r="K494" s="7" t="s">
        <v>1551</v>
      </c>
      <c r="L494" s="7" t="s">
        <v>1723</v>
      </c>
      <c r="M494" s="18">
        <v>3.5E7</v>
      </c>
      <c r="N494" s="3">
        <f>STANDARDIZE(M494,Profiling!$C$2, Profiling!$B$2)</f>
        <v>-0.2819470449</v>
      </c>
      <c r="O494" s="18">
        <v>2.49E7</v>
      </c>
      <c r="P494" s="3">
        <f>STANDARDIZE(O494,Profiling!$C$3, Profiling!$B$3)</f>
        <v>-0.6934756632</v>
      </c>
      <c r="Q494" s="3"/>
      <c r="R494" s="3"/>
    </row>
    <row r="495">
      <c r="A495" s="11" t="s">
        <v>2789</v>
      </c>
      <c r="B495" s="20">
        <v>41453.0</v>
      </c>
      <c r="C495" s="13" t="s">
        <v>2790</v>
      </c>
      <c r="D495" s="11" t="s">
        <v>15</v>
      </c>
      <c r="E495" s="17"/>
      <c r="F495" s="15" t="s">
        <v>1068</v>
      </c>
      <c r="G495" s="16"/>
      <c r="H495" s="7" t="s">
        <v>87</v>
      </c>
      <c r="I495" s="7" t="s">
        <v>273</v>
      </c>
      <c r="J495" s="7" t="s">
        <v>2791</v>
      </c>
      <c r="K495" s="7" t="s">
        <v>2792</v>
      </c>
      <c r="L495" s="7" t="s">
        <v>1112</v>
      </c>
      <c r="M495" s="18">
        <v>1.5E8</v>
      </c>
      <c r="N495" s="3">
        <f>STANDARDIZE(M495,Profiling!$C$2, Profiling!$B$2)</f>
        <v>2.055518221</v>
      </c>
      <c r="O495" s="18">
        <v>2.05E8</v>
      </c>
      <c r="P495" s="3">
        <f>STANDARDIZE(O495,Profiling!$C$3, Profiling!$B$3)</f>
        <v>0.2893053687</v>
      </c>
      <c r="Q495" s="3"/>
      <c r="R495" s="3"/>
    </row>
    <row r="496">
      <c r="A496" s="11" t="s">
        <v>2793</v>
      </c>
      <c r="B496" s="20">
        <v>41880.0</v>
      </c>
      <c r="C496" s="13" t="s">
        <v>2794</v>
      </c>
      <c r="D496" s="25" t="s">
        <v>20</v>
      </c>
      <c r="E496" s="11"/>
      <c r="F496" s="15" t="s">
        <v>2795</v>
      </c>
      <c r="G496" s="16"/>
      <c r="H496" s="7" t="s">
        <v>1013</v>
      </c>
      <c r="I496" s="7" t="s">
        <v>2796</v>
      </c>
      <c r="J496" s="7" t="s">
        <v>2047</v>
      </c>
      <c r="K496" s="7" t="s">
        <v>2797</v>
      </c>
      <c r="L496" s="17"/>
      <c r="M496" s="18">
        <v>1.5E7</v>
      </c>
      <c r="N496" s="3">
        <f>STANDARDIZE(M496,Profiling!$C$2, Profiling!$B$2)</f>
        <v>-0.6884627433</v>
      </c>
      <c r="O496" s="18">
        <v>5.25E7</v>
      </c>
      <c r="P496" s="3">
        <f>STANDARDIZE(O496,Profiling!$C$3, Profiling!$B$3)</f>
        <v>-0.5428662436</v>
      </c>
      <c r="Q496" s="3"/>
      <c r="R496" s="3"/>
    </row>
    <row r="497">
      <c r="A497" s="11" t="s">
        <v>2798</v>
      </c>
      <c r="B497" s="20">
        <v>41683.0</v>
      </c>
      <c r="C497" s="13" t="s">
        <v>2799</v>
      </c>
      <c r="D497" s="11" t="s">
        <v>20</v>
      </c>
      <c r="E497" s="11" t="s">
        <v>13</v>
      </c>
      <c r="F497" s="15" t="s">
        <v>2800</v>
      </c>
      <c r="G497" s="16"/>
      <c r="H497" s="7" t="s">
        <v>602</v>
      </c>
      <c r="I497" s="7" t="s">
        <v>1233</v>
      </c>
      <c r="J497" s="7" t="s">
        <v>2740</v>
      </c>
      <c r="K497" s="7" t="s">
        <v>1496</v>
      </c>
      <c r="L497" s="7" t="s">
        <v>198</v>
      </c>
      <c r="M497" s="18">
        <v>6.0E7</v>
      </c>
      <c r="N497" s="3">
        <f>STANDARDIZE(M497,Profiling!$C$2, Profiling!$B$2)</f>
        <v>0.2261975781</v>
      </c>
      <c r="O497" s="18">
        <v>3.11E7</v>
      </c>
      <c r="P497" s="3">
        <f>STANDARDIZE(O497,Profiling!$C$3, Profiling!$B$3)</f>
        <v>-0.6596431124</v>
      </c>
      <c r="Q497" s="3"/>
      <c r="R497" s="3"/>
    </row>
    <row r="498">
      <c r="A498" s="11" t="s">
        <v>2801</v>
      </c>
      <c r="B498" s="20">
        <v>41657.0</v>
      </c>
      <c r="C498" s="13" t="s">
        <v>2802</v>
      </c>
      <c r="D498" s="11" t="s">
        <v>20</v>
      </c>
      <c r="E498" s="11" t="s">
        <v>17</v>
      </c>
      <c r="F498" s="15" t="s">
        <v>2803</v>
      </c>
      <c r="G498" s="16"/>
      <c r="H498" s="7" t="s">
        <v>2803</v>
      </c>
      <c r="I498" s="7" t="s">
        <v>1415</v>
      </c>
      <c r="J498" s="7" t="s">
        <v>996</v>
      </c>
      <c r="K498" s="7" t="s">
        <v>2804</v>
      </c>
      <c r="L498" s="7" t="s">
        <v>2805</v>
      </c>
      <c r="M498" s="18">
        <v>6000000.0</v>
      </c>
      <c r="N498" s="3">
        <f>STANDARDIZE(M498,Profiling!$C$2, Profiling!$B$2)</f>
        <v>-0.8713948075</v>
      </c>
      <c r="O498" s="18">
        <v>5500000.0</v>
      </c>
      <c r="P498" s="3">
        <f>STANDARDIZE(O498,Profiling!$C$3, Profiling!$B$3)</f>
        <v>-0.799338806</v>
      </c>
      <c r="Q498" s="3"/>
      <c r="R498" s="3"/>
    </row>
    <row r="499">
      <c r="A499" s="11" t="s">
        <v>2806</v>
      </c>
      <c r="B499" s="20">
        <v>42095.0</v>
      </c>
      <c r="C499" s="13" t="s">
        <v>2807</v>
      </c>
      <c r="D499" s="11" t="s">
        <v>20</v>
      </c>
      <c r="E499" s="17"/>
      <c r="F499" s="15" t="s">
        <v>2808</v>
      </c>
      <c r="G499" s="16"/>
      <c r="H499" s="7" t="s">
        <v>790</v>
      </c>
      <c r="I499" s="7" t="s">
        <v>607</v>
      </c>
      <c r="J499" s="7" t="s">
        <v>447</v>
      </c>
      <c r="K499" s="7" t="s">
        <v>2218</v>
      </c>
      <c r="L499" s="7" t="s">
        <v>2809</v>
      </c>
      <c r="M499" s="18">
        <v>1.1E7</v>
      </c>
      <c r="N499" s="3">
        <f>STANDARDIZE(M499,Profiling!$C$2, Profiling!$B$2)</f>
        <v>-0.769765883</v>
      </c>
      <c r="O499" s="18">
        <v>6.16E7</v>
      </c>
      <c r="P499" s="3">
        <f>STANDARDIZE(O499,Profiling!$C$3, Profiling!$B$3)</f>
        <v>-0.49320879</v>
      </c>
      <c r="Q499" s="3"/>
      <c r="R499" s="3"/>
    </row>
    <row r="500">
      <c r="A500" s="11" t="s">
        <v>2810</v>
      </c>
      <c r="B500" s="20">
        <v>41180.0</v>
      </c>
      <c r="C500" s="13" t="s">
        <v>2811</v>
      </c>
      <c r="D500" s="11" t="s">
        <v>20</v>
      </c>
      <c r="E500" s="17"/>
      <c r="F500" s="15" t="s">
        <v>2812</v>
      </c>
      <c r="G500" s="16"/>
      <c r="H500" s="7" t="s">
        <v>348</v>
      </c>
      <c r="I500" s="7" t="s">
        <v>2791</v>
      </c>
      <c r="J500" s="7" t="s">
        <v>2813</v>
      </c>
      <c r="K500" s="7" t="s">
        <v>1383</v>
      </c>
      <c r="L500" s="7" t="s">
        <v>2814</v>
      </c>
      <c r="M500" s="18">
        <v>1.9E7</v>
      </c>
      <c r="N500" s="3">
        <f>STANDARDIZE(M500,Profiling!$C$2, Profiling!$B$2)</f>
        <v>-0.6071596036</v>
      </c>
      <c r="O500" s="18">
        <v>5400000.0</v>
      </c>
      <c r="P500" s="3">
        <f>STANDARDIZE(O500,Profiling!$C$3, Profiling!$B$3)</f>
        <v>-0.7998844923</v>
      </c>
      <c r="Q500" s="3"/>
      <c r="R500" s="3"/>
    </row>
    <row r="501">
      <c r="A501" s="11" t="s">
        <v>2815</v>
      </c>
      <c r="B501" s="20">
        <v>42293.0</v>
      </c>
      <c r="C501" s="13" t="s">
        <v>2816</v>
      </c>
      <c r="D501" s="11" t="s">
        <v>20</v>
      </c>
      <c r="E501" s="17"/>
      <c r="F501" s="15" t="s">
        <v>2817</v>
      </c>
      <c r="G501" s="16"/>
      <c r="H501" s="7" t="s">
        <v>1389</v>
      </c>
      <c r="I501" s="7" t="s">
        <v>2818</v>
      </c>
      <c r="J501" s="7" t="s">
        <v>2819</v>
      </c>
      <c r="K501" s="7" t="s">
        <v>1539</v>
      </c>
      <c r="L501" s="7" t="s">
        <v>878</v>
      </c>
      <c r="M501" s="18">
        <v>1.3E7</v>
      </c>
      <c r="N501" s="3">
        <f>STANDARDIZE(M501,Profiling!$C$2, Profiling!$B$2)</f>
        <v>-0.7291143131</v>
      </c>
      <c r="O501" s="18">
        <v>1.44E7</v>
      </c>
      <c r="P501" s="3">
        <f>STANDARDIZE(O501,Profiling!$C$3, Profiling!$B$3)</f>
        <v>-0.750772725</v>
      </c>
      <c r="Q501" s="3"/>
      <c r="R501" s="3"/>
    </row>
    <row r="502">
      <c r="A502" s="11" t="s">
        <v>2820</v>
      </c>
      <c r="B502" s="20">
        <v>41446.0</v>
      </c>
      <c r="C502" s="13" t="s">
        <v>2821</v>
      </c>
      <c r="D502" s="11" t="s">
        <v>15</v>
      </c>
      <c r="E502" s="11" t="s">
        <v>18</v>
      </c>
      <c r="F502" s="15" t="s">
        <v>2822</v>
      </c>
      <c r="G502" s="16"/>
      <c r="H502" s="7" t="s">
        <v>451</v>
      </c>
      <c r="I502" s="7" t="s">
        <v>1057</v>
      </c>
      <c r="J502" s="7" t="s">
        <v>67</v>
      </c>
      <c r="K502" s="7" t="s">
        <v>2823</v>
      </c>
      <c r="L502" s="7" t="s">
        <v>213</v>
      </c>
      <c r="M502" s="18">
        <v>1.9E8</v>
      </c>
      <c r="N502" s="3">
        <f>STANDARDIZE(M502,Profiling!$C$2, Profiling!$B$2)</f>
        <v>2.868549617</v>
      </c>
      <c r="O502" s="18">
        <v>5.4E8</v>
      </c>
      <c r="P502" s="3">
        <f>STANDARDIZE(O502,Profiling!$C$3, Profiling!$B$3)</f>
        <v>2.117354484</v>
      </c>
      <c r="Q502" s="3"/>
      <c r="R502" s="3"/>
    </row>
    <row r="503">
      <c r="A503" s="11" t="s">
        <v>2824</v>
      </c>
      <c r="B503" s="20">
        <v>40998.0</v>
      </c>
      <c r="C503" s="13" t="s">
        <v>2825</v>
      </c>
      <c r="D503" s="11" t="s">
        <v>15</v>
      </c>
      <c r="E503" s="11" t="s">
        <v>10</v>
      </c>
      <c r="F503" s="15" t="s">
        <v>2007</v>
      </c>
      <c r="G503" s="16"/>
      <c r="H503" s="7" t="s">
        <v>1323</v>
      </c>
      <c r="I503" s="7" t="s">
        <v>177</v>
      </c>
      <c r="J503" s="7" t="s">
        <v>952</v>
      </c>
      <c r="K503" s="7" t="s">
        <v>1644</v>
      </c>
      <c r="L503" s="7" t="s">
        <v>925</v>
      </c>
      <c r="M503" s="18">
        <v>1.5E8</v>
      </c>
      <c r="N503" s="3">
        <f>STANDARDIZE(M503,Profiling!$C$2, Profiling!$B$2)</f>
        <v>2.055518221</v>
      </c>
      <c r="O503" s="18">
        <v>3.053E8</v>
      </c>
      <c r="P503" s="3">
        <f>STANDARDIZE(O503,Profiling!$C$3, Profiling!$B$3)</f>
        <v>0.8366287307</v>
      </c>
      <c r="Q503" s="3"/>
      <c r="R503" s="3"/>
    </row>
    <row r="504">
      <c r="A504" s="11" t="s">
        <v>2826</v>
      </c>
      <c r="B504" s="20">
        <v>42499.0</v>
      </c>
      <c r="C504" s="13" t="s">
        <v>2827</v>
      </c>
      <c r="D504" s="11" t="s">
        <v>15</v>
      </c>
      <c r="E504" s="11"/>
      <c r="F504" s="15" t="s">
        <v>2828</v>
      </c>
      <c r="G504" s="16"/>
      <c r="H504" s="7" t="s">
        <v>2679</v>
      </c>
      <c r="I504" s="7" t="s">
        <v>1700</v>
      </c>
      <c r="J504" s="7" t="s">
        <v>1175</v>
      </c>
      <c r="K504" s="7" t="s">
        <v>153</v>
      </c>
      <c r="L504" s="7" t="s">
        <v>1300</v>
      </c>
      <c r="M504" s="18">
        <v>1.78E8</v>
      </c>
      <c r="N504" s="3">
        <f>STANDARDIZE(M504,Profiling!$C$2, Profiling!$B$2)</f>
        <v>2.624640198</v>
      </c>
      <c r="O504" s="18">
        <v>5.446E8</v>
      </c>
      <c r="P504" s="3">
        <f>STANDARDIZE(O504,Profiling!$C$3, Profiling!$B$3)</f>
        <v>2.142456054</v>
      </c>
      <c r="Q504" s="3"/>
      <c r="R504" s="3"/>
    </row>
    <row r="505">
      <c r="A505" s="11" t="s">
        <v>2829</v>
      </c>
      <c r="B505" s="20">
        <v>41769.0</v>
      </c>
      <c r="C505" s="13" t="s">
        <v>2830</v>
      </c>
      <c r="D505" s="11" t="s">
        <v>15</v>
      </c>
      <c r="E505" s="11" t="s">
        <v>10</v>
      </c>
      <c r="F505" s="15" t="s">
        <v>2828</v>
      </c>
      <c r="G505" s="16"/>
      <c r="H505" s="7" t="s">
        <v>493</v>
      </c>
      <c r="I505" s="7" t="s">
        <v>2679</v>
      </c>
      <c r="J505" s="7" t="s">
        <v>1700</v>
      </c>
      <c r="K505" s="7" t="s">
        <v>2113</v>
      </c>
      <c r="L505" s="7" t="s">
        <v>1175</v>
      </c>
      <c r="M505" s="18">
        <v>2.0E8</v>
      </c>
      <c r="N505" s="3">
        <f>STANDARDIZE(M505,Profiling!$C$2, Profiling!$B$2)</f>
        <v>3.071807467</v>
      </c>
      <c r="O505" s="18">
        <v>7.479E8</v>
      </c>
      <c r="P505" s="3">
        <f>STANDARDIZE(O505,Profiling!$C$3, Profiling!$B$3)</f>
        <v>3.251836308</v>
      </c>
      <c r="Q505" s="3"/>
      <c r="R505" s="3"/>
    </row>
    <row r="506">
      <c r="A506" s="11" t="s">
        <v>2831</v>
      </c>
      <c r="B506" s="20">
        <v>41509.0</v>
      </c>
      <c r="C506" s="13" t="s">
        <v>2832</v>
      </c>
      <c r="D506" s="11" t="s">
        <v>18</v>
      </c>
      <c r="E506" s="17"/>
      <c r="F506" s="15" t="s">
        <v>2833</v>
      </c>
      <c r="G506" s="16"/>
      <c r="H506" s="7" t="s">
        <v>2834</v>
      </c>
      <c r="I506" s="7" t="s">
        <v>2835</v>
      </c>
      <c r="J506" s="7" t="s">
        <v>2836</v>
      </c>
      <c r="K506" s="7" t="s">
        <v>2837</v>
      </c>
      <c r="L506" s="7" t="s">
        <v>2838</v>
      </c>
      <c r="M506" s="18">
        <v>1000000.0</v>
      </c>
      <c r="N506" s="3">
        <f>STANDARDIZE(M506,Profiling!$C$2, Profiling!$B$2)</f>
        <v>-0.9730237321</v>
      </c>
      <c r="O506" s="18">
        <v>2.68E7</v>
      </c>
      <c r="P506" s="3">
        <f>STANDARDIZE(O506,Profiling!$C$3, Profiling!$B$3)</f>
        <v>-0.6831076235</v>
      </c>
      <c r="Q506" s="3"/>
      <c r="R506" s="3"/>
    </row>
    <row r="507">
      <c r="A507" s="11" t="s">
        <v>2839</v>
      </c>
      <c r="B507" s="20">
        <v>41262.0</v>
      </c>
      <c r="C507" s="13" t="s">
        <v>2840</v>
      </c>
      <c r="D507" s="11" t="s">
        <v>20</v>
      </c>
      <c r="E507" s="17"/>
      <c r="F507" s="15" t="s">
        <v>2841</v>
      </c>
      <c r="G507" s="16"/>
      <c r="H507" s="7" t="s">
        <v>154</v>
      </c>
      <c r="I507" s="7" t="s">
        <v>2205</v>
      </c>
      <c r="J507" s="7" t="s">
        <v>383</v>
      </c>
      <c r="K507" s="7" t="s">
        <v>473</v>
      </c>
      <c r="L507" s="7" t="s">
        <v>522</v>
      </c>
      <c r="M507" s="18">
        <v>4.0E7</v>
      </c>
      <c r="N507" s="3">
        <f>STANDARDIZE(M507,Profiling!$C$2, Profiling!$B$2)</f>
        <v>-0.1803181203</v>
      </c>
      <c r="O507" s="18">
        <v>1.3280000000000001E8</v>
      </c>
      <c r="P507" s="3">
        <f>STANDARDIZE(O507,Profiling!$C$3, Profiling!$B$3)</f>
        <v>-0.1046801422</v>
      </c>
      <c r="Q507" s="3"/>
      <c r="R507" s="3"/>
    </row>
    <row r="508">
      <c r="A508" s="11" t="s">
        <v>2842</v>
      </c>
      <c r="B508" s="20">
        <v>42054.0</v>
      </c>
      <c r="C508" s="13" t="s">
        <v>2843</v>
      </c>
      <c r="D508" s="11" t="s">
        <v>22</v>
      </c>
      <c r="E508" s="11" t="s">
        <v>13</v>
      </c>
      <c r="F508" s="15" t="s">
        <v>2844</v>
      </c>
      <c r="G508" s="16"/>
      <c r="H508" s="7" t="s">
        <v>2845</v>
      </c>
      <c r="I508" s="7" t="s">
        <v>2846</v>
      </c>
      <c r="J508" s="7" t="s">
        <v>2847</v>
      </c>
      <c r="K508" s="7" t="s">
        <v>2848</v>
      </c>
      <c r="L508" s="7" t="s">
        <v>2849</v>
      </c>
      <c r="M508" s="18">
        <v>3.0E7</v>
      </c>
      <c r="N508" s="3">
        <f>STANDARDIZE(M508,Profiling!$C$2, Profiling!$B$2)</f>
        <v>-0.3835759695</v>
      </c>
      <c r="O508" s="18">
        <v>6.447E7</v>
      </c>
      <c r="P508" s="3">
        <f>STANDARDIZE(O508,Profiling!$C$3, Profiling!$B$3)</f>
        <v>-0.4775475931</v>
      </c>
      <c r="Q508" s="3"/>
      <c r="R508" s="3"/>
    </row>
    <row r="509">
      <c r="A509" s="11" t="s">
        <v>2850</v>
      </c>
      <c r="B509" s="20">
        <v>42412.0</v>
      </c>
      <c r="C509" s="13" t="s">
        <v>2851</v>
      </c>
      <c r="D509" s="11" t="s">
        <v>17</v>
      </c>
      <c r="E509" s="17"/>
      <c r="F509" s="15" t="s">
        <v>1466</v>
      </c>
      <c r="G509" s="16"/>
      <c r="H509" s="7" t="s">
        <v>1466</v>
      </c>
      <c r="I509" s="7" t="s">
        <v>1468</v>
      </c>
      <c r="J509" s="7" t="s">
        <v>2852</v>
      </c>
      <c r="K509" s="7" t="s">
        <v>574</v>
      </c>
      <c r="L509" s="7" t="s">
        <v>2853</v>
      </c>
      <c r="M509" s="18">
        <v>5.0E7</v>
      </c>
      <c r="N509" s="3">
        <f>STANDARDIZE(M509,Profiling!$C$2, Profiling!$B$2)</f>
        <v>0.02293972887</v>
      </c>
      <c r="O509" s="18">
        <v>5.6E7</v>
      </c>
      <c r="P509" s="3">
        <f>STANDARDIZE(O509,Profiling!$C$3, Profiling!$B$3)</f>
        <v>-0.5237672229</v>
      </c>
      <c r="Q509" s="3"/>
      <c r="R509" s="3"/>
    </row>
  </sheetData>
  <conditionalFormatting sqref="A1:A509">
    <cfRule type="expression" dxfId="0" priority="1">
      <formula>NOT(ISTEXT(A1))</formula>
    </cfRule>
  </conditionalFormatting>
  <conditionalFormatting sqref="B2:B509">
    <cfRule type="expression" dxfId="0" priority="2">
      <formula>AND(ISNUMBER(B2),TRUNC(B2)&gt;TODAY())</formula>
    </cfRule>
  </conditionalFormatting>
  <conditionalFormatting sqref="B2:B509">
    <cfRule type="expression" dxfId="0" priority="3">
      <formula>NOT(ISDATE(B2))</formula>
    </cfRule>
  </conditionalFormatting>
  <conditionalFormatting sqref="C1:L509">
    <cfRule type="expression" dxfId="0" priority="4">
      <formula>AND(NOT(ISTEXT(C1)), NOT(ISBLANK(C1)))</formula>
    </cfRule>
  </conditionalFormatting>
  <conditionalFormatting sqref="M2:M509 O2:O509">
    <cfRule type="expression" dxfId="0" priority="5">
      <formula>NOT(ISNUMBER(M2))</formula>
    </cfRule>
  </conditionalFormatting>
  <conditionalFormatting sqref="M2:M509">
    <cfRule type="cellIs" dxfId="0" priority="6" operator="lessThan">
      <formula>0</formula>
    </cfRule>
  </conditionalFormatting>
  <conditionalFormatting sqref="O2:O509">
    <cfRule type="cellIs" dxfId="0" priority="7" operator="lessThan">
      <formula>0</formula>
    </cfRule>
  </conditionalFormatting>
  <conditionalFormatting sqref="A1:D509 M1:M509 O1:O509">
    <cfRule type="containsBlanks" dxfId="0" priority="8">
      <formula>LEN(TRIM(A1))=0</formula>
    </cfRule>
  </conditionalFormatting>
  <conditionalFormatting sqref="N2:N509 P2:P509">
    <cfRule type="cellIs" dxfId="0" priority="9" operator="notBetween">
      <formula>-2.99</formula>
      <formula>2.99</formula>
    </cfRule>
  </conditionalFormatting>
  <hyperlinks>
    <hyperlink r:id="rId2" ref="C2"/>
    <hyperlink r:id="rId3" ref="C3"/>
    <hyperlink r:id="rId4" ref="C4"/>
    <hyperlink r:id="rId5" ref="C5"/>
    <hyperlink r:id="rId6" ref="C6"/>
    <hyperlink r:id="rId7" ref="C7"/>
    <hyperlink r:id="rId8" ref="C8"/>
    <hyperlink r:id="rId9" ref="C9"/>
    <hyperlink r:id="rId10" ref="C10"/>
    <hyperlink r:id="rId11" ref="C11"/>
    <hyperlink r:id="rId12" ref="C12"/>
    <hyperlink r:id="rId13" ref="C13"/>
    <hyperlink r:id="rId14" ref="C14"/>
    <hyperlink r:id="rId15" ref="C15"/>
    <hyperlink r:id="rId16" ref="C16"/>
    <hyperlink r:id="rId17" ref="C17"/>
    <hyperlink r:id="rId18" ref="C18"/>
    <hyperlink r:id="rId19" ref="C19"/>
    <hyperlink r:id="rId20" ref="C20"/>
    <hyperlink r:id="rId21" ref="C21"/>
    <hyperlink r:id="rId22" ref="C22"/>
    <hyperlink r:id="rId23" ref="C23"/>
    <hyperlink r:id="rId24" ref="C24"/>
    <hyperlink r:id="rId25" ref="C25"/>
    <hyperlink r:id="rId26" ref="C26"/>
    <hyperlink r:id="rId27" ref="C27"/>
    <hyperlink r:id="rId28" ref="C28"/>
    <hyperlink r:id="rId29" ref="C29"/>
    <hyperlink r:id="rId30" ref="C30"/>
    <hyperlink r:id="rId31" ref="C31"/>
    <hyperlink r:id="rId32" ref="C32"/>
    <hyperlink r:id="rId33" ref="C33"/>
    <hyperlink r:id="rId34" ref="C34"/>
    <hyperlink r:id="rId35" ref="C35"/>
    <hyperlink r:id="rId36" ref="C36"/>
    <hyperlink r:id="rId37" ref="C37"/>
    <hyperlink r:id="rId38" ref="C38"/>
    <hyperlink r:id="rId39" ref="C39"/>
    <hyperlink r:id="rId40" ref="C40"/>
    <hyperlink r:id="rId41" ref="C41"/>
    <hyperlink r:id="rId42" ref="C42"/>
    <hyperlink r:id="rId43" ref="C43"/>
    <hyperlink r:id="rId44" ref="C44"/>
    <hyperlink r:id="rId45" ref="C45"/>
    <hyperlink r:id="rId46" ref="C46"/>
    <hyperlink r:id="rId47" ref="C47"/>
    <hyperlink r:id="rId48" ref="C48"/>
    <hyperlink r:id="rId49" ref="C49"/>
    <hyperlink r:id="rId50" ref="C50"/>
    <hyperlink r:id="rId51" ref="C51"/>
    <hyperlink r:id="rId52" ref="C52"/>
    <hyperlink r:id="rId53" ref="C53"/>
    <hyperlink r:id="rId54" ref="C54"/>
    <hyperlink r:id="rId55" ref="C55"/>
    <hyperlink r:id="rId56" ref="C56"/>
    <hyperlink r:id="rId57" ref="C57"/>
    <hyperlink r:id="rId58" ref="C58"/>
    <hyperlink r:id="rId59" ref="C59"/>
    <hyperlink r:id="rId60" ref="C60"/>
    <hyperlink r:id="rId61" ref="C61"/>
    <hyperlink r:id="rId62" ref="C62"/>
    <hyperlink r:id="rId63" ref="C63"/>
    <hyperlink r:id="rId64" ref="C64"/>
    <hyperlink r:id="rId65" ref="C65"/>
    <hyperlink r:id="rId66" ref="C66"/>
    <hyperlink r:id="rId67" ref="C67"/>
    <hyperlink r:id="rId68" ref="C68"/>
    <hyperlink r:id="rId69" ref="C69"/>
    <hyperlink r:id="rId70" ref="C70"/>
    <hyperlink r:id="rId71" ref="C71"/>
    <hyperlink r:id="rId72" ref="C72"/>
    <hyperlink r:id="rId73" ref="C73"/>
    <hyperlink r:id="rId74" ref="C74"/>
    <hyperlink r:id="rId75" ref="C75"/>
    <hyperlink r:id="rId76" ref="C76"/>
    <hyperlink r:id="rId77" ref="C77"/>
    <hyperlink r:id="rId78" ref="C78"/>
    <hyperlink r:id="rId79" ref="C79"/>
    <hyperlink r:id="rId80" ref="C80"/>
    <hyperlink r:id="rId81" ref="C81"/>
    <hyperlink r:id="rId82" ref="C82"/>
    <hyperlink r:id="rId83" ref="C83"/>
    <hyperlink r:id="rId84" ref="C84"/>
    <hyperlink r:id="rId85" ref="C85"/>
    <hyperlink r:id="rId86" ref="C86"/>
    <hyperlink r:id="rId87" ref="C87"/>
    <hyperlink r:id="rId88" ref="C88"/>
    <hyperlink r:id="rId89" ref="C89"/>
    <hyperlink r:id="rId90" ref="C90"/>
    <hyperlink r:id="rId91" ref="C91"/>
    <hyperlink r:id="rId92" ref="C92"/>
    <hyperlink r:id="rId93" ref="C93"/>
    <hyperlink r:id="rId94" ref="C94"/>
    <hyperlink r:id="rId95" ref="C95"/>
    <hyperlink r:id="rId96" ref="C96"/>
    <hyperlink r:id="rId97" ref="C97"/>
    <hyperlink r:id="rId98" ref="C98"/>
    <hyperlink r:id="rId99" ref="C99"/>
    <hyperlink r:id="rId100" ref="C100"/>
    <hyperlink r:id="rId101" ref="C101"/>
    <hyperlink r:id="rId102" ref="C102"/>
    <hyperlink r:id="rId103" ref="C103"/>
    <hyperlink r:id="rId104" ref="C104"/>
    <hyperlink r:id="rId105" ref="C105"/>
    <hyperlink r:id="rId106" ref="C106"/>
    <hyperlink r:id="rId107" ref="C107"/>
    <hyperlink r:id="rId108" ref="C108"/>
    <hyperlink r:id="rId109" ref="C109"/>
    <hyperlink r:id="rId110" ref="C110"/>
    <hyperlink r:id="rId111" ref="C111"/>
    <hyperlink r:id="rId112" ref="C112"/>
    <hyperlink r:id="rId113" ref="C113"/>
    <hyperlink r:id="rId114" ref="C114"/>
    <hyperlink r:id="rId115" ref="C115"/>
    <hyperlink r:id="rId116" ref="C116"/>
    <hyperlink r:id="rId117" ref="C117"/>
    <hyperlink r:id="rId118" ref="C118"/>
    <hyperlink r:id="rId119" ref="C119"/>
    <hyperlink r:id="rId120" ref="C120"/>
    <hyperlink r:id="rId121" ref="C121"/>
    <hyperlink r:id="rId122" ref="C122"/>
    <hyperlink r:id="rId123" ref="C123"/>
    <hyperlink r:id="rId124" ref="C124"/>
    <hyperlink r:id="rId125" ref="C125"/>
    <hyperlink r:id="rId126" ref="C126"/>
    <hyperlink r:id="rId127" ref="C127"/>
    <hyperlink r:id="rId128" ref="C128"/>
    <hyperlink r:id="rId129" ref="C129"/>
    <hyperlink r:id="rId130" ref="C130"/>
    <hyperlink r:id="rId131" ref="C131"/>
    <hyperlink r:id="rId132" ref="C132"/>
    <hyperlink r:id="rId133" ref="C133"/>
    <hyperlink r:id="rId134" ref="C134"/>
    <hyperlink r:id="rId135" ref="C135"/>
    <hyperlink r:id="rId136" ref="C136"/>
    <hyperlink r:id="rId137" ref="C137"/>
    <hyperlink r:id="rId138" ref="C138"/>
    <hyperlink r:id="rId139" ref="C139"/>
    <hyperlink r:id="rId140" ref="C140"/>
    <hyperlink r:id="rId141" ref="C141"/>
    <hyperlink r:id="rId142" ref="C142"/>
    <hyperlink r:id="rId143" ref="C143"/>
    <hyperlink r:id="rId144" ref="C144"/>
    <hyperlink r:id="rId145" ref="C145"/>
    <hyperlink r:id="rId146" ref="C146"/>
    <hyperlink r:id="rId147" ref="C147"/>
    <hyperlink r:id="rId148" ref="C148"/>
    <hyperlink r:id="rId149" ref="C149"/>
    <hyperlink r:id="rId150" ref="C150"/>
    <hyperlink r:id="rId151" ref="C151"/>
    <hyperlink r:id="rId152" ref="C152"/>
    <hyperlink r:id="rId153" ref="C153"/>
    <hyperlink r:id="rId154" ref="C154"/>
    <hyperlink r:id="rId155" ref="C155"/>
    <hyperlink r:id="rId156" ref="C156"/>
    <hyperlink r:id="rId157" ref="C157"/>
    <hyperlink r:id="rId158" ref="C158"/>
    <hyperlink r:id="rId159" ref="C159"/>
    <hyperlink r:id="rId160" ref="C160"/>
    <hyperlink r:id="rId161" ref="C161"/>
    <hyperlink r:id="rId162" ref="C162"/>
    <hyperlink r:id="rId163" ref="C163"/>
    <hyperlink r:id="rId164" ref="C164"/>
    <hyperlink r:id="rId165" ref="C165"/>
    <hyperlink r:id="rId166" ref="C166"/>
    <hyperlink r:id="rId167" ref="C167"/>
    <hyperlink r:id="rId168" ref="C168"/>
    <hyperlink r:id="rId169" ref="C169"/>
    <hyperlink r:id="rId170" ref="C170"/>
    <hyperlink r:id="rId171" ref="C171"/>
    <hyperlink r:id="rId172" ref="C172"/>
    <hyperlink r:id="rId173" ref="C173"/>
    <hyperlink r:id="rId174" ref="C174"/>
    <hyperlink r:id="rId175" ref="C175"/>
    <hyperlink r:id="rId176" ref="C176"/>
    <hyperlink r:id="rId177" ref="C177"/>
    <hyperlink r:id="rId178" ref="C178"/>
    <hyperlink r:id="rId179" ref="C179"/>
    <hyperlink r:id="rId180" ref="C180"/>
    <hyperlink r:id="rId181" ref="C181"/>
    <hyperlink r:id="rId182" ref="C182"/>
    <hyperlink r:id="rId183" ref="C183"/>
    <hyperlink r:id="rId184" ref="C184"/>
    <hyperlink r:id="rId185" ref="C185"/>
    <hyperlink r:id="rId186" ref="C186"/>
    <hyperlink r:id="rId187" ref="C187"/>
    <hyperlink r:id="rId188" ref="C188"/>
    <hyperlink r:id="rId189" ref="C189"/>
    <hyperlink r:id="rId190" ref="C190"/>
    <hyperlink r:id="rId191" ref="C191"/>
    <hyperlink r:id="rId192" ref="C192"/>
    <hyperlink r:id="rId193" ref="C193"/>
    <hyperlink r:id="rId194" ref="C194"/>
    <hyperlink r:id="rId195" ref="C195"/>
    <hyperlink r:id="rId196" ref="C196"/>
    <hyperlink r:id="rId197" ref="C197"/>
    <hyperlink r:id="rId198" ref="C198"/>
    <hyperlink r:id="rId199" ref="C199"/>
    <hyperlink r:id="rId200" ref="C200"/>
    <hyperlink r:id="rId201" ref="C201"/>
    <hyperlink r:id="rId202" ref="C202"/>
    <hyperlink r:id="rId203" ref="C203"/>
    <hyperlink r:id="rId204" ref="C204"/>
    <hyperlink r:id="rId205" ref="C205"/>
    <hyperlink r:id="rId206" ref="C206"/>
    <hyperlink r:id="rId207" ref="C207"/>
    <hyperlink r:id="rId208" ref="C208"/>
    <hyperlink r:id="rId209" ref="C209"/>
    <hyperlink r:id="rId210" ref="C210"/>
    <hyperlink r:id="rId211" ref="C211"/>
    <hyperlink r:id="rId212" ref="C212"/>
    <hyperlink r:id="rId213" ref="C213"/>
    <hyperlink r:id="rId214" ref="C214"/>
    <hyperlink r:id="rId215" ref="C215"/>
    <hyperlink r:id="rId216" ref="C216"/>
    <hyperlink r:id="rId217" ref="C217"/>
    <hyperlink r:id="rId218" ref="C218"/>
    <hyperlink r:id="rId219" ref="C219"/>
    <hyperlink r:id="rId220" ref="C220"/>
    <hyperlink r:id="rId221" ref="C221"/>
    <hyperlink r:id="rId222" ref="C222"/>
    <hyperlink r:id="rId223" ref="C223"/>
    <hyperlink r:id="rId224" ref="C224"/>
    <hyperlink r:id="rId225" ref="C225"/>
    <hyperlink r:id="rId226" ref="C226"/>
    <hyperlink r:id="rId227" ref="C227"/>
    <hyperlink r:id="rId228" ref="C228"/>
    <hyperlink r:id="rId229" ref="C229"/>
    <hyperlink r:id="rId230" ref="C230"/>
    <hyperlink r:id="rId231" ref="C231"/>
    <hyperlink r:id="rId232" ref="C232"/>
    <hyperlink r:id="rId233" ref="C233"/>
    <hyperlink r:id="rId234" ref="C234"/>
    <hyperlink r:id="rId235" ref="C235"/>
    <hyperlink r:id="rId236" ref="C236"/>
    <hyperlink r:id="rId237" ref="C237"/>
    <hyperlink r:id="rId238" ref="C238"/>
    <hyperlink r:id="rId239" ref="C239"/>
    <hyperlink r:id="rId240" ref="C240"/>
    <hyperlink r:id="rId241" ref="C241"/>
    <hyperlink r:id="rId242" ref="C242"/>
    <hyperlink r:id="rId243" ref="C243"/>
    <hyperlink r:id="rId244" ref="C244"/>
    <hyperlink r:id="rId245" ref="C245"/>
    <hyperlink r:id="rId246" ref="C246"/>
    <hyperlink r:id="rId247" ref="C247"/>
    <hyperlink r:id="rId248" ref="C248"/>
    <hyperlink r:id="rId249" ref="C249"/>
    <hyperlink r:id="rId250" ref="C250"/>
    <hyperlink r:id="rId251" ref="C251"/>
    <hyperlink r:id="rId252" ref="C252"/>
    <hyperlink r:id="rId253" ref="C253"/>
    <hyperlink r:id="rId254" ref="C254"/>
    <hyperlink r:id="rId255" ref="C255"/>
    <hyperlink r:id="rId256" ref="C256"/>
    <hyperlink r:id="rId257" ref="C257"/>
    <hyperlink r:id="rId258" ref="C258"/>
    <hyperlink r:id="rId259" ref="C259"/>
    <hyperlink r:id="rId260" ref="C260"/>
    <hyperlink r:id="rId261" ref="C261"/>
    <hyperlink r:id="rId262" ref="C262"/>
    <hyperlink r:id="rId263" ref="C263"/>
    <hyperlink r:id="rId264" ref="C264"/>
    <hyperlink r:id="rId265" ref="C265"/>
    <hyperlink r:id="rId266" ref="C266"/>
    <hyperlink r:id="rId267" ref="C267"/>
    <hyperlink r:id="rId268" ref="C268"/>
    <hyperlink r:id="rId269" ref="C269"/>
    <hyperlink r:id="rId270" ref="C270"/>
    <hyperlink r:id="rId271" ref="C271"/>
    <hyperlink r:id="rId272" ref="C272"/>
    <hyperlink r:id="rId273" ref="C273"/>
    <hyperlink r:id="rId274" ref="C274"/>
    <hyperlink r:id="rId275" ref="C275"/>
    <hyperlink r:id="rId276" ref="C276"/>
    <hyperlink r:id="rId277" ref="C277"/>
    <hyperlink r:id="rId278" ref="C278"/>
    <hyperlink r:id="rId279" ref="C279"/>
    <hyperlink r:id="rId280" ref="C280"/>
    <hyperlink r:id="rId281" ref="C281"/>
    <hyperlink r:id="rId282" ref="C282"/>
    <hyperlink r:id="rId283" ref="C283"/>
    <hyperlink r:id="rId284" ref="C284"/>
    <hyperlink r:id="rId285" ref="C285"/>
    <hyperlink r:id="rId286" ref="C286"/>
    <hyperlink r:id="rId287" ref="C287"/>
    <hyperlink r:id="rId288" ref="C288"/>
    <hyperlink r:id="rId289" ref="C289"/>
    <hyperlink r:id="rId290" ref="C290"/>
    <hyperlink r:id="rId291" ref="C291"/>
    <hyperlink r:id="rId292" ref="C292"/>
    <hyperlink r:id="rId293" ref="C293"/>
    <hyperlink r:id="rId294" ref="C294"/>
    <hyperlink r:id="rId295" ref="C295"/>
    <hyperlink r:id="rId296" ref="C296"/>
    <hyperlink r:id="rId297" ref="C297"/>
    <hyperlink r:id="rId298" ref="C298"/>
    <hyperlink r:id="rId299" ref="C299"/>
    <hyperlink r:id="rId300" ref="C300"/>
    <hyperlink r:id="rId301" ref="C301"/>
    <hyperlink r:id="rId302" ref="C302"/>
    <hyperlink r:id="rId303" ref="C303"/>
    <hyperlink r:id="rId304" ref="C304"/>
    <hyperlink r:id="rId305" ref="C305"/>
    <hyperlink r:id="rId306" ref="C306"/>
    <hyperlink r:id="rId307" ref="C307"/>
    <hyperlink r:id="rId308" ref="C308"/>
    <hyperlink r:id="rId309" ref="C309"/>
    <hyperlink r:id="rId310" ref="C310"/>
    <hyperlink r:id="rId311" ref="C311"/>
    <hyperlink r:id="rId312" ref="C312"/>
    <hyperlink r:id="rId313" ref="C313"/>
    <hyperlink r:id="rId314" ref="C314"/>
    <hyperlink r:id="rId315" ref="C315"/>
    <hyperlink r:id="rId316" ref="C316"/>
    <hyperlink r:id="rId317" ref="C317"/>
    <hyperlink r:id="rId318" ref="C318"/>
    <hyperlink r:id="rId319" ref="C319"/>
    <hyperlink r:id="rId320" ref="C320"/>
    <hyperlink r:id="rId321" ref="C321"/>
    <hyperlink r:id="rId322" ref="C322"/>
    <hyperlink r:id="rId323" ref="C323"/>
    <hyperlink r:id="rId324" ref="C324"/>
    <hyperlink r:id="rId325" ref="C325"/>
    <hyperlink r:id="rId326" ref="C326"/>
    <hyperlink r:id="rId327" ref="C327"/>
    <hyperlink r:id="rId328" ref="C328"/>
    <hyperlink r:id="rId329" ref="C329"/>
    <hyperlink r:id="rId330" ref="C330"/>
    <hyperlink r:id="rId331" ref="C331"/>
    <hyperlink r:id="rId332" ref="C332"/>
    <hyperlink r:id="rId333" ref="C333"/>
    <hyperlink r:id="rId334" ref="C334"/>
    <hyperlink r:id="rId335" ref="C335"/>
    <hyperlink r:id="rId336" ref="C336"/>
    <hyperlink r:id="rId337" ref="C337"/>
    <hyperlink r:id="rId338" ref="C338"/>
    <hyperlink r:id="rId339" ref="C339"/>
    <hyperlink r:id="rId340" ref="C340"/>
    <hyperlink r:id="rId341" ref="C341"/>
    <hyperlink r:id="rId342" ref="C342"/>
    <hyperlink r:id="rId343" ref="C343"/>
    <hyperlink r:id="rId344" ref="C344"/>
    <hyperlink r:id="rId345" ref="C345"/>
    <hyperlink r:id="rId346" ref="C346"/>
    <hyperlink r:id="rId347" ref="C347"/>
    <hyperlink r:id="rId348" ref="C348"/>
    <hyperlink r:id="rId349" ref="C349"/>
    <hyperlink r:id="rId350" ref="C350"/>
    <hyperlink r:id="rId351" ref="C351"/>
    <hyperlink r:id="rId352" ref="C352"/>
    <hyperlink r:id="rId353" ref="C353"/>
    <hyperlink r:id="rId354" ref="C354"/>
    <hyperlink r:id="rId355" ref="C355"/>
    <hyperlink r:id="rId356" ref="C356"/>
    <hyperlink r:id="rId357" ref="C357"/>
    <hyperlink r:id="rId358" ref="C358"/>
    <hyperlink r:id="rId359" ref="C359"/>
    <hyperlink r:id="rId360" ref="C360"/>
    <hyperlink r:id="rId361" ref="C361"/>
    <hyperlink r:id="rId362" ref="C362"/>
    <hyperlink r:id="rId363" ref="C363"/>
    <hyperlink r:id="rId364" ref="C364"/>
    <hyperlink r:id="rId365" ref="C365"/>
    <hyperlink r:id="rId366" ref="C366"/>
    <hyperlink r:id="rId367" ref="C367"/>
    <hyperlink r:id="rId368" ref="C368"/>
    <hyperlink r:id="rId369" ref="C369"/>
    <hyperlink r:id="rId370" ref="C370"/>
    <hyperlink r:id="rId371" ref="C371"/>
    <hyperlink r:id="rId372" ref="C372"/>
    <hyperlink r:id="rId373" ref="C373"/>
    <hyperlink r:id="rId374" ref="C374"/>
    <hyperlink r:id="rId375" ref="C375"/>
    <hyperlink r:id="rId376" ref="C376"/>
    <hyperlink r:id="rId377" ref="C377"/>
    <hyperlink r:id="rId378" ref="C378"/>
    <hyperlink r:id="rId379" ref="C379"/>
    <hyperlink r:id="rId380" ref="C380"/>
    <hyperlink r:id="rId381" ref="C381"/>
    <hyperlink r:id="rId382" ref="C382"/>
    <hyperlink r:id="rId383" ref="C383"/>
    <hyperlink r:id="rId384" ref="C384"/>
    <hyperlink r:id="rId385" ref="C385"/>
    <hyperlink r:id="rId386" ref="C386"/>
    <hyperlink r:id="rId387" ref="C387"/>
    <hyperlink r:id="rId388" ref="C388"/>
    <hyperlink r:id="rId389" ref="C389"/>
    <hyperlink r:id="rId390" ref="C390"/>
    <hyperlink r:id="rId391" ref="C391"/>
    <hyperlink r:id="rId392" ref="C392"/>
    <hyperlink r:id="rId393" ref="C393"/>
    <hyperlink r:id="rId394" ref="C394"/>
    <hyperlink r:id="rId395" ref="C395"/>
    <hyperlink r:id="rId396" ref="C396"/>
    <hyperlink r:id="rId397" ref="C397"/>
    <hyperlink r:id="rId398" ref="C398"/>
    <hyperlink r:id="rId399" ref="C399"/>
    <hyperlink r:id="rId400" ref="C400"/>
    <hyperlink r:id="rId401" ref="C401"/>
    <hyperlink r:id="rId402" ref="C402"/>
    <hyperlink r:id="rId403" ref="C403"/>
    <hyperlink r:id="rId404" ref="C404"/>
    <hyperlink r:id="rId405" ref="C405"/>
    <hyperlink r:id="rId406" ref="C406"/>
    <hyperlink r:id="rId407" ref="C407"/>
    <hyperlink r:id="rId408" ref="C408"/>
    <hyperlink r:id="rId409" ref="C409"/>
    <hyperlink r:id="rId410" ref="C410"/>
    <hyperlink r:id="rId411" ref="C411"/>
    <hyperlink r:id="rId412" ref="C412"/>
    <hyperlink r:id="rId413" ref="C413"/>
    <hyperlink r:id="rId414" ref="C414"/>
    <hyperlink r:id="rId415" ref="C415"/>
    <hyperlink r:id="rId416" ref="C416"/>
    <hyperlink r:id="rId417" ref="C417"/>
    <hyperlink r:id="rId418" ref="C418"/>
    <hyperlink r:id="rId419" ref="C419"/>
    <hyperlink r:id="rId420" ref="C420"/>
    <hyperlink r:id="rId421" ref="C421"/>
    <hyperlink r:id="rId422" ref="C422"/>
    <hyperlink r:id="rId423" ref="C423"/>
    <hyperlink r:id="rId424" ref="C424"/>
    <hyperlink r:id="rId425" ref="C425"/>
    <hyperlink r:id="rId426" ref="C426"/>
    <hyperlink r:id="rId427" ref="C427"/>
    <hyperlink r:id="rId428" ref="C428"/>
    <hyperlink r:id="rId429" ref="C429"/>
    <hyperlink r:id="rId430" ref="C430"/>
    <hyperlink r:id="rId431" ref="C431"/>
    <hyperlink r:id="rId432" ref="C432"/>
    <hyperlink r:id="rId433" ref="C433"/>
    <hyperlink r:id="rId434" ref="C434"/>
    <hyperlink r:id="rId435" ref="C435"/>
    <hyperlink r:id="rId436" ref="C436"/>
    <hyperlink r:id="rId437" ref="C437"/>
    <hyperlink r:id="rId438" ref="C438"/>
    <hyperlink r:id="rId439" ref="C439"/>
    <hyperlink r:id="rId440" ref="C440"/>
    <hyperlink r:id="rId441" ref="C441"/>
    <hyperlink r:id="rId442" ref="C442"/>
    <hyperlink r:id="rId443" ref="C443"/>
    <hyperlink r:id="rId444" ref="C444"/>
    <hyperlink r:id="rId445" ref="C445"/>
    <hyperlink r:id="rId446" ref="C446"/>
    <hyperlink r:id="rId447" ref="C447"/>
    <hyperlink r:id="rId448" ref="C448"/>
    <hyperlink r:id="rId449" ref="C449"/>
    <hyperlink r:id="rId450" ref="C450"/>
    <hyperlink r:id="rId451" ref="C451"/>
    <hyperlink r:id="rId452" ref="C452"/>
    <hyperlink r:id="rId453" ref="C453"/>
    <hyperlink r:id="rId454" ref="C454"/>
    <hyperlink r:id="rId455" ref="C455"/>
    <hyperlink r:id="rId456" ref="C456"/>
    <hyperlink r:id="rId457" ref="C457"/>
    <hyperlink r:id="rId458" ref="C458"/>
    <hyperlink r:id="rId459" ref="C459"/>
    <hyperlink r:id="rId460" ref="C460"/>
    <hyperlink r:id="rId461" ref="C461"/>
    <hyperlink r:id="rId462" ref="C462"/>
    <hyperlink r:id="rId463" ref="C463"/>
    <hyperlink r:id="rId464" ref="C464"/>
    <hyperlink r:id="rId465" ref="C465"/>
    <hyperlink r:id="rId466" ref="C466"/>
    <hyperlink r:id="rId467" ref="C467"/>
    <hyperlink r:id="rId468" ref="C468"/>
    <hyperlink r:id="rId469" ref="C469"/>
    <hyperlink r:id="rId470" ref="C470"/>
    <hyperlink r:id="rId471" ref="C471"/>
    <hyperlink r:id="rId472" ref="C472"/>
    <hyperlink r:id="rId473" ref="C473"/>
    <hyperlink r:id="rId474" ref="C474"/>
    <hyperlink r:id="rId475" ref="C475"/>
    <hyperlink r:id="rId476" ref="C476"/>
    <hyperlink r:id="rId477" ref="C477"/>
    <hyperlink r:id="rId478" ref="C478"/>
    <hyperlink r:id="rId479" ref="C479"/>
    <hyperlink r:id="rId480" ref="C480"/>
    <hyperlink r:id="rId481" ref="C481"/>
    <hyperlink r:id="rId482" ref="C482"/>
    <hyperlink r:id="rId483" ref="C483"/>
    <hyperlink r:id="rId484" ref="C484"/>
    <hyperlink r:id="rId485" ref="C485"/>
    <hyperlink r:id="rId486" ref="C486"/>
    <hyperlink r:id="rId487" ref="C487"/>
    <hyperlink r:id="rId488" ref="C488"/>
    <hyperlink r:id="rId489" ref="C489"/>
    <hyperlink r:id="rId490" ref="C490"/>
    <hyperlink r:id="rId491" ref="C491"/>
    <hyperlink r:id="rId492" ref="C492"/>
    <hyperlink r:id="rId493" ref="C493"/>
    <hyperlink r:id="rId494" ref="C494"/>
    <hyperlink r:id="rId495" ref="C495"/>
    <hyperlink r:id="rId496" ref="C496"/>
    <hyperlink r:id="rId497" ref="C497"/>
    <hyperlink r:id="rId498" ref="C498"/>
    <hyperlink r:id="rId499" ref="C499"/>
    <hyperlink r:id="rId500" ref="C500"/>
    <hyperlink r:id="rId501" ref="C501"/>
    <hyperlink r:id="rId502" ref="C502"/>
    <hyperlink r:id="rId503" ref="C503"/>
    <hyperlink r:id="rId504" ref="C504"/>
    <hyperlink r:id="rId505" ref="C505"/>
    <hyperlink r:id="rId506" ref="C506"/>
    <hyperlink r:id="rId507" ref="C507"/>
    <hyperlink r:id="rId508" ref="C508"/>
    <hyperlink r:id="rId509" ref="C509"/>
  </hyperlinks>
  <drawing r:id="rId510"/>
  <legacyDrawing r:id="rId51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7.25"/>
    <col customWidth="1" min="4" max="5" width="20.0"/>
  </cols>
  <sheetData>
    <row r="1">
      <c r="A1" s="29" t="str">
        <f>IFERROR(__xludf.DUMMYFUNCTION("ARRAYFORMULA(QUERY(
  {
    Data!A:A, Data!B:B, Data!D:D, Data!M:M, Data!O:O;
    Data!A:A, Data!B:B, Data!E:E, Data!M:M, Data!O:O
  },
  ""select Col1, Col2, Col3, Col4, Col5 where Col3 is not null label Col1 'Title', Col2 'Release Date', Col3 'Genre', C"&amp;"ol4 'Budget', Col5 'Box Office Revenue'""
))"),"Title")</f>
        <v>Title</v>
      </c>
      <c r="B1" s="29" t="str">
        <f>IFERROR(__xludf.DUMMYFUNCTION("""COMPUTED_VALUE"""),"Release Date")</f>
        <v>Release Date</v>
      </c>
      <c r="C1" s="30" t="str">
        <f>IFERROR(__xludf.DUMMYFUNCTION("""COMPUTED_VALUE"""),"Genre")</f>
        <v>Genre</v>
      </c>
      <c r="D1" s="30" t="str">
        <f>IFERROR(__xludf.DUMMYFUNCTION("""COMPUTED_VALUE"""),"Budget")</f>
        <v>Budget</v>
      </c>
      <c r="E1" s="30" t="str">
        <f>IFERROR(__xludf.DUMMYFUNCTION("""COMPUTED_VALUE"""),"Box Office Revenue")</f>
        <v>Box Office Revenue</v>
      </c>
    </row>
    <row r="2">
      <c r="A2" s="31" t="str">
        <f>IFERROR(__xludf.DUMMYFUNCTION("""COMPUTED_VALUE"""),"10 Cloverfield Lane")</f>
        <v>10 Cloverfield Lane</v>
      </c>
      <c r="B2" s="32">
        <f>IFERROR(__xludf.DUMMYFUNCTION("""COMPUTED_VALUE"""),42437.0)</f>
        <v>42437</v>
      </c>
      <c r="C2" s="33" t="str">
        <f>IFERROR(__xludf.DUMMYFUNCTION("""COMPUTED_VALUE"""),"Thriller")</f>
        <v>Thriller</v>
      </c>
      <c r="D2" s="33">
        <f>IFERROR(__xludf.DUMMYFUNCTION("""COMPUTED_VALUE"""),1.5E7)</f>
        <v>15000000</v>
      </c>
      <c r="E2" s="33">
        <f>IFERROR(__xludf.DUMMYFUNCTION("""COMPUTED_VALUE"""),1.083E8)</f>
        <v>108300000</v>
      </c>
    </row>
    <row r="3">
      <c r="A3" s="31" t="str">
        <f>IFERROR(__xludf.DUMMYFUNCTION("""COMPUTED_VALUE"""),"13 Hours: The Secret Soldiers of Benghazi")</f>
        <v>13 Hours: The Secret Soldiers of Benghazi</v>
      </c>
      <c r="B3" s="32">
        <f>IFERROR(__xludf.DUMMYFUNCTION("""COMPUTED_VALUE"""),42384.0)</f>
        <v>42384</v>
      </c>
      <c r="C3" s="33" t="str">
        <f>IFERROR(__xludf.DUMMYFUNCTION("""COMPUTED_VALUE"""),"Action")</f>
        <v>Action</v>
      </c>
      <c r="D3" s="33">
        <f>IFERROR(__xludf.DUMMYFUNCTION("""COMPUTED_VALUE"""),4.5E7)</f>
        <v>45000000</v>
      </c>
      <c r="E3" s="33">
        <f>IFERROR(__xludf.DUMMYFUNCTION("""COMPUTED_VALUE"""),6.94E7)</f>
        <v>69400000</v>
      </c>
    </row>
    <row r="4">
      <c r="A4" s="31" t="str">
        <f>IFERROR(__xludf.DUMMYFUNCTION("""COMPUTED_VALUE"""),"2 Guns")</f>
        <v>2 Guns</v>
      </c>
      <c r="B4" s="32">
        <f>IFERROR(__xludf.DUMMYFUNCTION("""COMPUTED_VALUE"""),41488.0)</f>
        <v>41488</v>
      </c>
      <c r="C4" s="33" t="str">
        <f>IFERROR(__xludf.DUMMYFUNCTION("""COMPUTED_VALUE"""),"Action")</f>
        <v>Action</v>
      </c>
      <c r="D4" s="33">
        <f>IFERROR(__xludf.DUMMYFUNCTION("""COMPUTED_VALUE"""),6.1E7)</f>
        <v>61000000</v>
      </c>
      <c r="E4" s="33">
        <f>IFERROR(__xludf.DUMMYFUNCTION("""COMPUTED_VALUE"""),1.319E8)</f>
        <v>131900000</v>
      </c>
    </row>
    <row r="5">
      <c r="A5" s="31" t="str">
        <f>IFERROR(__xludf.DUMMYFUNCTION("""COMPUTED_VALUE"""),"21 Jump Street")</f>
        <v>21 Jump Street</v>
      </c>
      <c r="B5" s="32">
        <f>IFERROR(__xludf.DUMMYFUNCTION("""COMPUTED_VALUE"""),40984.0)</f>
        <v>40984</v>
      </c>
      <c r="C5" s="33" t="str">
        <f>IFERROR(__xludf.DUMMYFUNCTION("""COMPUTED_VALUE"""),"Comedy")</f>
        <v>Comedy</v>
      </c>
      <c r="D5" s="33">
        <f>IFERROR(__xludf.DUMMYFUNCTION("""COMPUTED_VALUE"""),5.5E7)</f>
        <v>55000000</v>
      </c>
      <c r="E5" s="33">
        <f>IFERROR(__xludf.DUMMYFUNCTION("""COMPUTED_VALUE"""),2.015E8)</f>
        <v>201500000</v>
      </c>
    </row>
    <row r="6">
      <c r="A6" s="31" t="str">
        <f>IFERROR(__xludf.DUMMYFUNCTION("""COMPUTED_VALUE"""),"22 Jump Street")</f>
        <v>22 Jump Street</v>
      </c>
      <c r="B6" s="32">
        <f>IFERROR(__xludf.DUMMYFUNCTION("""COMPUTED_VALUE"""),41794.0)</f>
        <v>41794</v>
      </c>
      <c r="C6" s="33" t="str">
        <f>IFERROR(__xludf.DUMMYFUNCTION("""COMPUTED_VALUE"""),"Action")</f>
        <v>Action</v>
      </c>
      <c r="D6" s="33">
        <f>IFERROR(__xludf.DUMMYFUNCTION("""COMPUTED_VALUE"""),8.45E7)</f>
        <v>84500000</v>
      </c>
      <c r="E6" s="33">
        <f>IFERROR(__xludf.DUMMYFUNCTION("""COMPUTED_VALUE"""),3.313E8)</f>
        <v>331300000</v>
      </c>
    </row>
    <row r="7">
      <c r="A7" s="31" t="str">
        <f>IFERROR(__xludf.DUMMYFUNCTION("""COMPUTED_VALUE"""),"300: Rise of an Empire")</f>
        <v>300: Rise of an Empire</v>
      </c>
      <c r="B7" s="32">
        <f>IFERROR(__xludf.DUMMYFUNCTION("""COMPUTED_VALUE"""),41702.0)</f>
        <v>41702</v>
      </c>
      <c r="C7" s="33" t="str">
        <f>IFERROR(__xludf.DUMMYFUNCTION("""COMPUTED_VALUE"""),"Action")</f>
        <v>Action</v>
      </c>
      <c r="D7" s="33">
        <f>IFERROR(__xludf.DUMMYFUNCTION("""COMPUTED_VALUE"""),1.1E8)</f>
        <v>110000000</v>
      </c>
      <c r="E7" s="33">
        <f>IFERROR(__xludf.DUMMYFUNCTION("""COMPUTED_VALUE"""),3.376E8)</f>
        <v>337600000</v>
      </c>
    </row>
    <row r="8">
      <c r="A8" s="31" t="str">
        <f>IFERROR(__xludf.DUMMYFUNCTION("""COMPUTED_VALUE"""),"42")</f>
        <v>42</v>
      </c>
      <c r="B8" s="32">
        <f>IFERROR(__xludf.DUMMYFUNCTION("""COMPUTED_VALUE"""),41376.0)</f>
        <v>41376</v>
      </c>
      <c r="C8" s="33" t="str">
        <f>IFERROR(__xludf.DUMMYFUNCTION("""COMPUTED_VALUE"""),"Biography")</f>
        <v>Biography</v>
      </c>
      <c r="D8" s="33">
        <f>IFERROR(__xludf.DUMMYFUNCTION("""COMPUTED_VALUE"""),4.0E7)</f>
        <v>40000000</v>
      </c>
      <c r="E8" s="33">
        <f>IFERROR(__xludf.DUMMYFUNCTION("""COMPUTED_VALUE"""),9.75E7)</f>
        <v>97500000</v>
      </c>
    </row>
    <row r="9">
      <c r="A9" s="31" t="str">
        <f>IFERROR(__xludf.DUMMYFUNCTION("""COMPUTED_VALUE"""),"71")</f>
        <v>71</v>
      </c>
      <c r="B9" s="32">
        <f>IFERROR(__xludf.DUMMYFUNCTION("""COMPUTED_VALUE"""),41677.0)</f>
        <v>41677</v>
      </c>
      <c r="C9" s="33" t="str">
        <f>IFERROR(__xludf.DUMMYFUNCTION("""COMPUTED_VALUE"""),"Action")</f>
        <v>Action</v>
      </c>
      <c r="D9" s="33">
        <f>IFERROR(__xludf.DUMMYFUNCTION("""COMPUTED_VALUE"""),8100000.0)</f>
        <v>8100000</v>
      </c>
      <c r="E9" s="33">
        <f>IFERROR(__xludf.DUMMYFUNCTION("""COMPUTED_VALUE"""),2900000.0)</f>
        <v>2900000</v>
      </c>
    </row>
    <row r="10">
      <c r="A10" s="31" t="str">
        <f>IFERROR(__xludf.DUMMYFUNCTION("""COMPUTED_VALUE"""),"90 Minutes in Heaven")</f>
        <v>90 Minutes in Heaven</v>
      </c>
      <c r="B10" s="32">
        <f>IFERROR(__xludf.DUMMYFUNCTION("""COMPUTED_VALUE"""),42258.0)</f>
        <v>42258</v>
      </c>
      <c r="C10" s="33" t="str">
        <f>IFERROR(__xludf.DUMMYFUNCTION("""COMPUTED_VALUE"""),"Drama")</f>
        <v>Drama</v>
      </c>
      <c r="D10" s="33">
        <f>IFERROR(__xludf.DUMMYFUNCTION("""COMPUTED_VALUE"""),5000000.0)</f>
        <v>5000000</v>
      </c>
      <c r="E10" s="33">
        <f>IFERROR(__xludf.DUMMYFUNCTION("""COMPUTED_VALUE"""),4800000.0)</f>
        <v>4800000</v>
      </c>
    </row>
    <row r="11">
      <c r="A11" s="31" t="str">
        <f>IFERROR(__xludf.DUMMYFUNCTION("""COMPUTED_VALUE"""),"A Good Day to Die Hard")</f>
        <v>A Good Day to Die Hard</v>
      </c>
      <c r="B11" s="32">
        <f>IFERROR(__xludf.DUMMYFUNCTION("""COMPUTED_VALUE"""),41319.0)</f>
        <v>41319</v>
      </c>
      <c r="C11" s="33" t="str">
        <f>IFERROR(__xludf.DUMMYFUNCTION("""COMPUTED_VALUE"""),"Action")</f>
        <v>Action</v>
      </c>
      <c r="D11" s="33">
        <f>IFERROR(__xludf.DUMMYFUNCTION("""COMPUTED_VALUE"""),9.2E7)</f>
        <v>92000000</v>
      </c>
      <c r="E11" s="33">
        <f>IFERROR(__xludf.DUMMYFUNCTION("""COMPUTED_VALUE"""),3.047E8)</f>
        <v>304700000</v>
      </c>
    </row>
    <row r="12">
      <c r="A12" s="31" t="str">
        <f>IFERROR(__xludf.DUMMYFUNCTION("""COMPUTED_VALUE"""),"A Haunted House")</f>
        <v>A Haunted House</v>
      </c>
      <c r="B12" s="32">
        <f>IFERROR(__xludf.DUMMYFUNCTION("""COMPUTED_VALUE"""),41285.0)</f>
        <v>41285</v>
      </c>
      <c r="C12" s="33" t="str">
        <f>IFERROR(__xludf.DUMMYFUNCTION("""COMPUTED_VALUE"""),"Comedy")</f>
        <v>Comedy</v>
      </c>
      <c r="D12" s="33">
        <f>IFERROR(__xludf.DUMMYFUNCTION("""COMPUTED_VALUE"""),2500000.0)</f>
        <v>2500000</v>
      </c>
      <c r="E12" s="33">
        <f>IFERROR(__xludf.DUMMYFUNCTION("""COMPUTED_VALUE"""),6.01E7)</f>
        <v>60100000</v>
      </c>
    </row>
    <row r="13">
      <c r="A13" s="31" t="str">
        <f>IFERROR(__xludf.DUMMYFUNCTION("""COMPUTED_VALUE"""),"A Haunted House 2")</f>
        <v>A Haunted House 2</v>
      </c>
      <c r="B13" s="32">
        <f>IFERROR(__xludf.DUMMYFUNCTION("""COMPUTED_VALUE"""),41747.0)</f>
        <v>41747</v>
      </c>
      <c r="C13" s="33" t="str">
        <f>IFERROR(__xludf.DUMMYFUNCTION("""COMPUTED_VALUE"""),"Comedy")</f>
        <v>Comedy</v>
      </c>
      <c r="D13" s="33">
        <f>IFERROR(__xludf.DUMMYFUNCTION("""COMPUTED_VALUE"""),4000000.0)</f>
        <v>4000000</v>
      </c>
      <c r="E13" s="33">
        <f>IFERROR(__xludf.DUMMYFUNCTION("""COMPUTED_VALUE"""),2.4E7)</f>
        <v>24000000</v>
      </c>
    </row>
    <row r="14">
      <c r="A14" s="31" t="str">
        <f>IFERROR(__xludf.DUMMYFUNCTION("""COMPUTED_VALUE"""),"A Long Way Down")</f>
        <v>A Long Way Down</v>
      </c>
      <c r="B14" s="32">
        <f>IFERROR(__xludf.DUMMYFUNCTION("""COMPUTED_VALUE"""),41680.0)</f>
        <v>41680</v>
      </c>
      <c r="C14" s="33" t="str">
        <f>IFERROR(__xludf.DUMMYFUNCTION("""COMPUTED_VALUE"""),"Comedy")</f>
        <v>Comedy</v>
      </c>
      <c r="D14" s="33">
        <f>IFERROR(__xludf.DUMMYFUNCTION("""COMPUTED_VALUE"""),2.27E7)</f>
        <v>22700000</v>
      </c>
      <c r="E14" s="33">
        <f>IFERROR(__xludf.DUMMYFUNCTION("""COMPUTED_VALUE"""),7100000.0)</f>
        <v>7100000</v>
      </c>
    </row>
    <row r="15">
      <c r="A15" s="31" t="str">
        <f>IFERROR(__xludf.DUMMYFUNCTION("""COMPUTED_VALUE"""),"A Most Violent Year")</f>
        <v>A Most Violent Year</v>
      </c>
      <c r="B15" s="32">
        <f>IFERROR(__xludf.DUMMYFUNCTION("""COMPUTED_VALUE"""),41949.0)</f>
        <v>41949</v>
      </c>
      <c r="C15" s="33" t="str">
        <f>IFERROR(__xludf.DUMMYFUNCTION("""COMPUTED_VALUE"""),"Action")</f>
        <v>Action</v>
      </c>
      <c r="D15" s="33">
        <f>IFERROR(__xludf.DUMMYFUNCTION("""COMPUTED_VALUE"""),2.0E7)</f>
        <v>20000000</v>
      </c>
      <c r="E15" s="33">
        <f>IFERROR(__xludf.DUMMYFUNCTION("""COMPUTED_VALUE"""),1.2E7)</f>
        <v>12000000</v>
      </c>
    </row>
    <row r="16">
      <c r="A16" s="31" t="str">
        <f>IFERROR(__xludf.DUMMYFUNCTION("""COMPUTED_VALUE"""),"A Most Wanted Man")</f>
        <v>A Most Wanted Man</v>
      </c>
      <c r="B16" s="32">
        <f>IFERROR(__xludf.DUMMYFUNCTION("""COMPUTED_VALUE"""),41658.0)</f>
        <v>41658</v>
      </c>
      <c r="C16" s="33" t="str">
        <f>IFERROR(__xludf.DUMMYFUNCTION("""COMPUTED_VALUE"""),"Thriller")</f>
        <v>Thriller</v>
      </c>
      <c r="D16" s="33">
        <f>IFERROR(__xludf.DUMMYFUNCTION("""COMPUTED_VALUE"""),1.5E7)</f>
        <v>15000000</v>
      </c>
      <c r="E16" s="33">
        <f>IFERROR(__xludf.DUMMYFUNCTION("""COMPUTED_VALUE"""),3.62E7)</f>
        <v>36200000</v>
      </c>
    </row>
    <row r="17">
      <c r="A17" s="31" t="str">
        <f>IFERROR(__xludf.DUMMYFUNCTION("""COMPUTED_VALUE"""),"A Thousand Words")</f>
        <v>A Thousand Words</v>
      </c>
      <c r="B17" s="32">
        <f>IFERROR(__xludf.DUMMYFUNCTION("""COMPUTED_VALUE"""),40977.0)</f>
        <v>40977</v>
      </c>
      <c r="C17" s="33" t="str">
        <f>IFERROR(__xludf.DUMMYFUNCTION("""COMPUTED_VALUE"""),"Comedy")</f>
        <v>Comedy</v>
      </c>
      <c r="D17" s="33">
        <f>IFERROR(__xludf.DUMMYFUNCTION("""COMPUTED_VALUE"""),4.0E7)</f>
        <v>40000000</v>
      </c>
      <c r="E17" s="33">
        <f>IFERROR(__xludf.DUMMYFUNCTION("""COMPUTED_VALUE"""),2.2E7)</f>
        <v>22000000</v>
      </c>
    </row>
    <row r="18">
      <c r="A18" s="31" t="str">
        <f>IFERROR(__xludf.DUMMYFUNCTION("""COMPUTED_VALUE"""),"A Walk Among the Tombstones")</f>
        <v>A Walk Among the Tombstones</v>
      </c>
      <c r="B18" s="32">
        <f>IFERROR(__xludf.DUMMYFUNCTION("""COMPUTED_VALUE"""),41901.0)</f>
        <v>41901</v>
      </c>
      <c r="C18" s="33" t="str">
        <f>IFERROR(__xludf.DUMMYFUNCTION("""COMPUTED_VALUE"""),"Crime")</f>
        <v>Crime</v>
      </c>
      <c r="D18" s="33">
        <f>IFERROR(__xludf.DUMMYFUNCTION("""COMPUTED_VALUE"""),2.8E7)</f>
        <v>28000000</v>
      </c>
      <c r="E18" s="33">
        <f>IFERROR(__xludf.DUMMYFUNCTION("""COMPUTED_VALUE"""),5.88E7)</f>
        <v>58800000</v>
      </c>
    </row>
    <row r="19">
      <c r="A19" s="31" t="str">
        <f>IFERROR(__xludf.DUMMYFUNCTION("""COMPUTED_VALUE"""),"A Walk in the Woods")</f>
        <v>A Walk in the Woods</v>
      </c>
      <c r="B19" s="32">
        <f>IFERROR(__xludf.DUMMYFUNCTION("""COMPUTED_VALUE"""),42027.0)</f>
        <v>42027</v>
      </c>
      <c r="C19" s="33" t="str">
        <f>IFERROR(__xludf.DUMMYFUNCTION("""COMPUTED_VALUE"""),"Adventure")</f>
        <v>Adventure</v>
      </c>
      <c r="D19" s="33">
        <f>IFERROR(__xludf.DUMMYFUNCTION("""COMPUTED_VALUE"""),8000000.0)</f>
        <v>8000000</v>
      </c>
      <c r="E19" s="33">
        <f>IFERROR(__xludf.DUMMYFUNCTION("""COMPUTED_VALUE"""),3.6E7)</f>
        <v>36000000</v>
      </c>
    </row>
    <row r="20">
      <c r="A20" s="31" t="str">
        <f>IFERROR(__xludf.DUMMYFUNCTION("""COMPUTED_VALUE"""),"Abraham Lincoln: Vampire Hunter")</f>
        <v>Abraham Lincoln: Vampire Hunter</v>
      </c>
      <c r="B20" s="32">
        <f>IFERROR(__xludf.DUMMYFUNCTION("""COMPUTED_VALUE"""),41082.0)</f>
        <v>41082</v>
      </c>
      <c r="C20" s="33" t="str">
        <f>IFERROR(__xludf.DUMMYFUNCTION("""COMPUTED_VALUE"""),"Horror")</f>
        <v>Horror</v>
      </c>
      <c r="D20" s="33">
        <f>IFERROR(__xludf.DUMMYFUNCTION("""COMPUTED_VALUE"""),9.95E7)</f>
        <v>99500000</v>
      </c>
      <c r="E20" s="33">
        <f>IFERROR(__xludf.DUMMYFUNCTION("""COMPUTED_VALUE"""),1.164E8)</f>
        <v>116400000</v>
      </c>
    </row>
    <row r="21">
      <c r="A21" s="31" t="str">
        <f>IFERROR(__xludf.DUMMYFUNCTION("""COMPUTED_VALUE"""),"After Earth")</f>
        <v>After Earth</v>
      </c>
      <c r="B21" s="32">
        <f>IFERROR(__xludf.DUMMYFUNCTION("""COMPUTED_VALUE"""),41425.0)</f>
        <v>41425</v>
      </c>
      <c r="C21" s="33" t="str">
        <f>IFERROR(__xludf.DUMMYFUNCTION("""COMPUTED_VALUE"""),"Sci-Fi")</f>
        <v>Sci-Fi</v>
      </c>
      <c r="D21" s="33">
        <f>IFERROR(__xludf.DUMMYFUNCTION("""COMPUTED_VALUE"""),1.3E8)</f>
        <v>130000000</v>
      </c>
      <c r="E21" s="33">
        <f>IFERROR(__xludf.DUMMYFUNCTION("""COMPUTED_VALUE"""),2.438E8)</f>
        <v>243800000</v>
      </c>
    </row>
    <row r="22">
      <c r="A22" s="31" t="str">
        <f>IFERROR(__xludf.DUMMYFUNCTION("""COMPUTED_VALUE"""),"Ain't Them Bodies Saints")</f>
        <v>Ain't Them Bodies Saints</v>
      </c>
      <c r="B22" s="32">
        <f>IFERROR(__xludf.DUMMYFUNCTION("""COMPUTED_VALUE"""),41502.0)</f>
        <v>41502</v>
      </c>
      <c r="C22" s="33" t="str">
        <f>IFERROR(__xludf.DUMMYFUNCTION("""COMPUTED_VALUE"""),"Drama")</f>
        <v>Drama</v>
      </c>
      <c r="D22" s="33">
        <f>IFERROR(__xludf.DUMMYFUNCTION("""COMPUTED_VALUE"""),4000000.0)</f>
        <v>4000000</v>
      </c>
      <c r="E22" s="33">
        <f>IFERROR(__xludf.DUMMYFUNCTION("""COMPUTED_VALUE"""),1000000.0)</f>
        <v>1000000</v>
      </c>
    </row>
    <row r="23">
      <c r="A23" s="31" t="str">
        <f>IFERROR(__xludf.DUMMYFUNCTION("""COMPUTED_VALUE"""),"Alex Cross")</f>
        <v>Alex Cross</v>
      </c>
      <c r="B23" s="32">
        <f>IFERROR(__xludf.DUMMYFUNCTION("""COMPUTED_VALUE"""),41201.0)</f>
        <v>41201</v>
      </c>
      <c r="C23" s="33" t="str">
        <f>IFERROR(__xludf.DUMMYFUNCTION("""COMPUTED_VALUE"""),"Crime")</f>
        <v>Crime</v>
      </c>
      <c r="D23" s="33">
        <f>IFERROR(__xludf.DUMMYFUNCTION("""COMPUTED_VALUE"""),3.5E7)</f>
        <v>35000000</v>
      </c>
      <c r="E23" s="33">
        <f>IFERROR(__xludf.DUMMYFUNCTION("""COMPUTED_VALUE"""),3.46E7)</f>
        <v>34600000</v>
      </c>
    </row>
    <row r="24">
      <c r="A24" s="31" t="str">
        <f>IFERROR(__xludf.DUMMYFUNCTION("""COMPUTED_VALUE"""),"Aloha")</f>
        <v>Aloha</v>
      </c>
      <c r="B24" s="32">
        <f>IFERROR(__xludf.DUMMYFUNCTION("""COMPUTED_VALUE"""),42151.0)</f>
        <v>42151</v>
      </c>
      <c r="C24" s="33" t="str">
        <f>IFERROR(__xludf.DUMMYFUNCTION("""COMPUTED_VALUE"""),"Romance")</f>
        <v>Romance</v>
      </c>
      <c r="D24" s="33">
        <f>IFERROR(__xludf.DUMMYFUNCTION("""COMPUTED_VALUE"""),5.2E7)</f>
        <v>52000000</v>
      </c>
      <c r="E24" s="33">
        <f>IFERROR(__xludf.DUMMYFUNCTION("""COMPUTED_VALUE"""),2.63E7)</f>
        <v>26300000</v>
      </c>
    </row>
    <row r="25">
      <c r="A25" s="31" t="str">
        <f>IFERROR(__xludf.DUMMYFUNCTION("""COMPUTED_VALUE"""),"Alvin and the Chipmunks: The Road Chip")</f>
        <v>Alvin and the Chipmunks: The Road Chip</v>
      </c>
      <c r="B25" s="32">
        <f>IFERROR(__xludf.DUMMYFUNCTION("""COMPUTED_VALUE"""),42356.0)</f>
        <v>42356</v>
      </c>
      <c r="C25" s="33" t="str">
        <f>IFERROR(__xludf.DUMMYFUNCTION("""COMPUTED_VALUE"""),"Comedy")</f>
        <v>Comedy</v>
      </c>
      <c r="D25" s="33">
        <f>IFERROR(__xludf.DUMMYFUNCTION("""COMPUTED_VALUE"""),9.0E7)</f>
        <v>90000000</v>
      </c>
      <c r="E25" s="33">
        <f>IFERROR(__xludf.DUMMYFUNCTION("""COMPUTED_VALUE"""),2.348E8)</f>
        <v>234800000</v>
      </c>
    </row>
    <row r="26">
      <c r="A26" s="31" t="str">
        <f>IFERROR(__xludf.DUMMYFUNCTION("""COMPUTED_VALUE"""),"American Reunion")</f>
        <v>American Reunion</v>
      </c>
      <c r="B26" s="32">
        <f>IFERROR(__xludf.DUMMYFUNCTION("""COMPUTED_VALUE"""),41005.0)</f>
        <v>41005</v>
      </c>
      <c r="C26" s="33" t="str">
        <f>IFERROR(__xludf.DUMMYFUNCTION("""COMPUTED_VALUE"""),"Comedy")</f>
        <v>Comedy</v>
      </c>
      <c r="D26" s="33">
        <f>IFERROR(__xludf.DUMMYFUNCTION("""COMPUTED_VALUE"""),5.0E7)</f>
        <v>50000000</v>
      </c>
      <c r="E26" s="33">
        <f>IFERROR(__xludf.DUMMYFUNCTION("""COMPUTED_VALUE"""),2.35E8)</f>
        <v>235000000</v>
      </c>
    </row>
    <row r="27">
      <c r="A27" s="31" t="str">
        <f>IFERROR(__xludf.DUMMYFUNCTION("""COMPUTED_VALUE"""),"American Sniper")</f>
        <v>American Sniper</v>
      </c>
      <c r="B27" s="32">
        <f>IFERROR(__xludf.DUMMYFUNCTION("""COMPUTED_VALUE"""),41954.0)</f>
        <v>41954</v>
      </c>
      <c r="C27" s="33" t="str">
        <f>IFERROR(__xludf.DUMMYFUNCTION("""COMPUTED_VALUE"""),"Drama")</f>
        <v>Drama</v>
      </c>
      <c r="D27" s="33">
        <f>IFERROR(__xludf.DUMMYFUNCTION("""COMPUTED_VALUE"""),5.88E7)</f>
        <v>58800000</v>
      </c>
      <c r="E27" s="33">
        <f>IFERROR(__xludf.DUMMYFUNCTION("""COMPUTED_VALUE"""),5.474E8)</f>
        <v>547400000</v>
      </c>
    </row>
    <row r="28">
      <c r="A28" s="31" t="str">
        <f>IFERROR(__xludf.DUMMYFUNCTION("""COMPUTED_VALUE"""),"American Ultra")</f>
        <v>American Ultra</v>
      </c>
      <c r="B28" s="32">
        <f>IFERROR(__xludf.DUMMYFUNCTION("""COMPUTED_VALUE"""),42237.0)</f>
        <v>42237</v>
      </c>
      <c r="C28" s="33" t="str">
        <f>IFERROR(__xludf.DUMMYFUNCTION("""COMPUTED_VALUE"""),"Action")</f>
        <v>Action</v>
      </c>
      <c r="D28" s="33">
        <f>IFERROR(__xludf.DUMMYFUNCTION("""COMPUTED_VALUE"""),2.8E7)</f>
        <v>28000000</v>
      </c>
      <c r="E28" s="33">
        <f>IFERROR(__xludf.DUMMYFUNCTION("""COMPUTED_VALUE"""),2.71E7)</f>
        <v>27100000</v>
      </c>
    </row>
    <row r="29">
      <c r="A29" s="31" t="str">
        <f>IFERROR(__xludf.DUMMYFUNCTION("""COMPUTED_VALUE"""),"Amy")</f>
        <v>Amy</v>
      </c>
      <c r="B29" s="32">
        <f>IFERROR(__xludf.DUMMYFUNCTION("""COMPUTED_VALUE"""),42171.0)</f>
        <v>42171</v>
      </c>
      <c r="C29" s="33" t="str">
        <f>IFERROR(__xludf.DUMMYFUNCTION("""COMPUTED_VALUE"""),"Biography")</f>
        <v>Biography</v>
      </c>
      <c r="D29" s="33">
        <f>IFERROR(__xludf.DUMMYFUNCTION("""COMPUTED_VALUE"""),3400000.0)</f>
        <v>3400000</v>
      </c>
      <c r="E29" s="33">
        <f>IFERROR(__xludf.DUMMYFUNCTION("""COMPUTED_VALUE"""),2.2E7)</f>
        <v>22000000</v>
      </c>
    </row>
    <row r="30">
      <c r="A30" s="31" t="str">
        <f>IFERROR(__xludf.DUMMYFUNCTION("""COMPUTED_VALUE"""),"Annabelle")</f>
        <v>Annabelle</v>
      </c>
      <c r="B30" s="32">
        <f>IFERROR(__xludf.DUMMYFUNCTION("""COMPUTED_VALUE"""),41908.0)</f>
        <v>41908</v>
      </c>
      <c r="C30" s="33" t="str">
        <f>IFERROR(__xludf.DUMMYFUNCTION("""COMPUTED_VALUE"""),"Horror")</f>
        <v>Horror</v>
      </c>
      <c r="D30" s="33">
        <f>IFERROR(__xludf.DUMMYFUNCTION("""COMPUTED_VALUE"""),6500000.0)</f>
        <v>6500000</v>
      </c>
      <c r="E30" s="33">
        <f>IFERROR(__xludf.DUMMYFUNCTION("""COMPUTED_VALUE"""),2.5689999999999997E8)</f>
        <v>256900000</v>
      </c>
    </row>
    <row r="31">
      <c r="A31" s="31" t="str">
        <f>IFERROR(__xludf.DUMMYFUNCTION("""COMPUTED_VALUE"""),"Annie")</f>
        <v>Annie</v>
      </c>
      <c r="B31" s="32">
        <f>IFERROR(__xludf.DUMMYFUNCTION("""COMPUTED_VALUE"""),41980.0)</f>
        <v>41980</v>
      </c>
      <c r="C31" s="33" t="str">
        <f>IFERROR(__xludf.DUMMYFUNCTION("""COMPUTED_VALUE"""),"Comedy")</f>
        <v>Comedy</v>
      </c>
      <c r="D31" s="33">
        <f>IFERROR(__xludf.DUMMYFUNCTION("""COMPUTED_VALUE"""),6.5E7)</f>
        <v>65000000</v>
      </c>
      <c r="E31" s="33">
        <f>IFERROR(__xludf.DUMMYFUNCTION("""COMPUTED_VALUE"""),1.3380000000000001E8)</f>
        <v>133800000</v>
      </c>
    </row>
    <row r="32">
      <c r="A32" s="31" t="str">
        <f>IFERROR(__xludf.DUMMYFUNCTION("""COMPUTED_VALUE"""),"Ant-Man")</f>
        <v>Ant-Man</v>
      </c>
      <c r="B32" s="32">
        <f>IFERROR(__xludf.DUMMYFUNCTION("""COMPUTED_VALUE"""),42184.0)</f>
        <v>42184</v>
      </c>
      <c r="C32" s="33" t="str">
        <f>IFERROR(__xludf.DUMMYFUNCTION("""COMPUTED_VALUE"""),"Action")</f>
        <v>Action</v>
      </c>
      <c r="D32" s="33">
        <f>IFERROR(__xludf.DUMMYFUNCTION("""COMPUTED_VALUE"""),1.3E8)</f>
        <v>130000000</v>
      </c>
      <c r="E32" s="33">
        <f>IFERROR(__xludf.DUMMYFUNCTION("""COMPUTED_VALUE"""),5.194E8)</f>
        <v>519400000</v>
      </c>
    </row>
    <row r="33">
      <c r="A33" s="31" t="str">
        <f>IFERROR(__xludf.DUMMYFUNCTION("""COMPUTED_VALUE"""),"Argo")</f>
        <v>Argo</v>
      </c>
      <c r="B33" s="32">
        <f>IFERROR(__xludf.DUMMYFUNCTION("""COMPUTED_VALUE"""),41194.0)</f>
        <v>41194</v>
      </c>
      <c r="C33" s="33" t="str">
        <f>IFERROR(__xludf.DUMMYFUNCTION("""COMPUTED_VALUE"""),"Drama")</f>
        <v>Drama</v>
      </c>
      <c r="D33" s="33">
        <f>IFERROR(__xludf.DUMMYFUNCTION("""COMPUTED_VALUE"""),4.45E7)</f>
        <v>44500000</v>
      </c>
      <c r="E33" s="33">
        <f>IFERROR(__xludf.DUMMYFUNCTION("""COMPUTED_VALUE"""),2.323E8)</f>
        <v>232300000</v>
      </c>
    </row>
    <row r="34">
      <c r="A34" s="31" t="str">
        <f>IFERROR(__xludf.DUMMYFUNCTION("""COMPUTED_VALUE"""),"As Above, So Below")</f>
        <v>As Above, So Below</v>
      </c>
      <c r="B34" s="32">
        <f>IFERROR(__xludf.DUMMYFUNCTION("""COMPUTED_VALUE"""),41880.0)</f>
        <v>41880</v>
      </c>
      <c r="C34" s="33" t="str">
        <f>IFERROR(__xludf.DUMMYFUNCTION("""COMPUTED_VALUE"""),"Horror")</f>
        <v>Horror</v>
      </c>
      <c r="D34" s="33">
        <f>IFERROR(__xludf.DUMMYFUNCTION("""COMPUTED_VALUE"""),5000000.0)</f>
        <v>5000000</v>
      </c>
      <c r="E34" s="33">
        <f>IFERROR(__xludf.DUMMYFUNCTION("""COMPUTED_VALUE"""),5000000.0)</f>
        <v>5000000</v>
      </c>
    </row>
    <row r="35">
      <c r="A35" s="31" t="str">
        <f>IFERROR(__xludf.DUMMYFUNCTION("""COMPUTED_VALUE"""),"Bad Moms")</f>
        <v>Bad Moms</v>
      </c>
      <c r="B35" s="32">
        <f>IFERROR(__xludf.DUMMYFUNCTION("""COMPUTED_VALUE"""),42580.0)</f>
        <v>42580</v>
      </c>
      <c r="C35" s="33" t="str">
        <f>IFERROR(__xludf.DUMMYFUNCTION("""COMPUTED_VALUE"""),"Comedy")</f>
        <v>Comedy</v>
      </c>
      <c r="D35" s="33">
        <f>IFERROR(__xludf.DUMMYFUNCTION("""COMPUTED_VALUE"""),2.0E7)</f>
        <v>20000000</v>
      </c>
      <c r="E35" s="33">
        <f>IFERROR(__xludf.DUMMYFUNCTION("""COMPUTED_VALUE"""),1.242E8)</f>
        <v>124200000</v>
      </c>
    </row>
    <row r="36">
      <c r="A36" s="31" t="str">
        <f>IFERROR(__xludf.DUMMYFUNCTION("""COMPUTED_VALUE"""),"Barbershop: The Next Cut")</f>
        <v>Barbershop: The Next Cut</v>
      </c>
      <c r="B36" s="32">
        <f>IFERROR(__xludf.DUMMYFUNCTION("""COMPUTED_VALUE"""),42475.0)</f>
        <v>42475</v>
      </c>
      <c r="C36" s="33" t="str">
        <f>IFERROR(__xludf.DUMMYFUNCTION("""COMPUTED_VALUE"""),"Comedy")</f>
        <v>Comedy</v>
      </c>
      <c r="D36" s="33">
        <f>IFERROR(__xludf.DUMMYFUNCTION("""COMPUTED_VALUE"""),2.0E7)</f>
        <v>20000000</v>
      </c>
      <c r="E36" s="33">
        <f>IFERROR(__xludf.DUMMYFUNCTION("""COMPUTED_VALUE"""),5.5E7)</f>
        <v>55000000</v>
      </c>
    </row>
    <row r="37">
      <c r="A37" s="31" t="str">
        <f>IFERROR(__xludf.DUMMYFUNCTION("""COMPUTED_VALUE"""),"Batman v Superman: Dawn of Justice")</f>
        <v>Batman v Superman: Dawn of Justice</v>
      </c>
      <c r="B37" s="32">
        <f>IFERROR(__xludf.DUMMYFUNCTION("""COMPUTED_VALUE"""),42448.0)</f>
        <v>42448</v>
      </c>
      <c r="C37" s="33" t="str">
        <f>IFERROR(__xludf.DUMMYFUNCTION("""COMPUTED_VALUE"""),"Action")</f>
        <v>Action</v>
      </c>
      <c r="D37" s="33">
        <f>IFERROR(__xludf.DUMMYFUNCTION("""COMPUTED_VALUE"""),2.5E8)</f>
        <v>250000000</v>
      </c>
      <c r="E37" s="33">
        <f>IFERROR(__xludf.DUMMYFUNCTION("""COMPUTED_VALUE"""),8.727E8)</f>
        <v>872700000</v>
      </c>
    </row>
    <row r="38">
      <c r="A38" s="31" t="str">
        <f>IFERROR(__xludf.DUMMYFUNCTION("""COMPUTED_VALUE"""),"Batman: The Killing Joke")</f>
        <v>Batman: The Killing Joke</v>
      </c>
      <c r="B38" s="32">
        <f>IFERROR(__xludf.DUMMYFUNCTION("""COMPUTED_VALUE"""),42576.0)</f>
        <v>42576</v>
      </c>
      <c r="C38" s="33" t="str">
        <f>IFERROR(__xludf.DUMMYFUNCTION("""COMPUTED_VALUE"""),"Action")</f>
        <v>Action</v>
      </c>
      <c r="D38" s="33">
        <f>IFERROR(__xludf.DUMMYFUNCTION("""COMPUTED_VALUE"""),3500000.0)</f>
        <v>3500000</v>
      </c>
      <c r="E38" s="33">
        <f>IFERROR(__xludf.DUMMYFUNCTION("""COMPUTED_VALUE"""),4400000.0)</f>
        <v>4400000</v>
      </c>
    </row>
    <row r="39">
      <c r="A39" s="31" t="str">
        <f>IFERROR(__xludf.DUMMYFUNCTION("""COMPUTED_VALUE"""),"Battle of the Year")</f>
        <v>Battle of the Year</v>
      </c>
      <c r="B39" s="32">
        <f>IFERROR(__xludf.DUMMYFUNCTION("""COMPUTED_VALUE"""),41537.0)</f>
        <v>41537</v>
      </c>
      <c r="C39" s="33" t="str">
        <f>IFERROR(__xludf.DUMMYFUNCTION("""COMPUTED_VALUE"""),"Musical")</f>
        <v>Musical</v>
      </c>
      <c r="D39" s="33">
        <f>IFERROR(__xludf.DUMMYFUNCTION("""COMPUTED_VALUE"""),2.0E7)</f>
        <v>20000000</v>
      </c>
      <c r="E39" s="33">
        <f>IFERROR(__xludf.DUMMYFUNCTION("""COMPUTED_VALUE"""),1.65E7)</f>
        <v>16500000</v>
      </c>
    </row>
    <row r="40">
      <c r="A40" s="31" t="str">
        <f>IFERROR(__xludf.DUMMYFUNCTION("""COMPUTED_VALUE"""),"Battleship")</f>
        <v>Battleship</v>
      </c>
      <c r="B40" s="32">
        <f>IFERROR(__xludf.DUMMYFUNCTION("""COMPUTED_VALUE"""),41047.0)</f>
        <v>41047</v>
      </c>
      <c r="C40" s="33" t="str">
        <f>IFERROR(__xludf.DUMMYFUNCTION("""COMPUTED_VALUE"""),"Action")</f>
        <v>Action</v>
      </c>
      <c r="D40" s="33">
        <f>IFERROR(__xludf.DUMMYFUNCTION("""COMPUTED_VALUE"""),2.2E8)</f>
        <v>220000000</v>
      </c>
      <c r="E40" s="33">
        <f>IFERROR(__xludf.DUMMYFUNCTION("""COMPUTED_VALUE"""),3.03E8)</f>
        <v>303000000</v>
      </c>
    </row>
    <row r="41">
      <c r="A41" s="31" t="str">
        <f>IFERROR(__xludf.DUMMYFUNCTION("""COMPUTED_VALUE"""),"Beasts of the Southern Wild")</f>
        <v>Beasts of the Southern Wild</v>
      </c>
      <c r="B41" s="32">
        <f>IFERROR(__xludf.DUMMYFUNCTION("""COMPUTED_VALUE"""),41087.0)</f>
        <v>41087</v>
      </c>
      <c r="C41" s="33" t="str">
        <f>IFERROR(__xludf.DUMMYFUNCTION("""COMPUTED_VALUE"""),"Drama")</f>
        <v>Drama</v>
      </c>
      <c r="D41" s="33">
        <f>IFERROR(__xludf.DUMMYFUNCTION("""COMPUTED_VALUE"""),1800000.0)</f>
        <v>1800000</v>
      </c>
      <c r="E41" s="33">
        <f>IFERROR(__xludf.DUMMYFUNCTION("""COMPUTED_VALUE"""),2.19E7)</f>
        <v>21900000</v>
      </c>
    </row>
    <row r="42">
      <c r="A42" s="31" t="str">
        <f>IFERROR(__xludf.DUMMYFUNCTION("""COMPUTED_VALUE"""),"Beautiful Creatures")</f>
        <v>Beautiful Creatures</v>
      </c>
      <c r="B42" s="32">
        <f>IFERROR(__xludf.DUMMYFUNCTION("""COMPUTED_VALUE"""),41319.0)</f>
        <v>41319</v>
      </c>
      <c r="C42" s="33" t="str">
        <f>IFERROR(__xludf.DUMMYFUNCTION("""COMPUTED_VALUE"""),"Fantasy")</f>
        <v>Fantasy</v>
      </c>
      <c r="D42" s="33">
        <f>IFERROR(__xludf.DUMMYFUNCTION("""COMPUTED_VALUE"""),6.0E7)</f>
        <v>60000000</v>
      </c>
      <c r="E42" s="33">
        <f>IFERROR(__xludf.DUMMYFUNCTION("""COMPUTED_VALUE"""),6.01E7)</f>
        <v>60100000</v>
      </c>
    </row>
    <row r="43">
      <c r="A43" s="31" t="str">
        <f>IFERROR(__xludf.DUMMYFUNCTION("""COMPUTED_VALUE"""),"Before I Go to Sleep")</f>
        <v>Before I Go to Sleep</v>
      </c>
      <c r="B43" s="32">
        <f>IFERROR(__xludf.DUMMYFUNCTION("""COMPUTED_VALUE"""),41886.0)</f>
        <v>41886</v>
      </c>
      <c r="C43" s="33" t="str">
        <f>IFERROR(__xludf.DUMMYFUNCTION("""COMPUTED_VALUE"""),"Mystery")</f>
        <v>Mystery</v>
      </c>
      <c r="D43" s="33">
        <f>IFERROR(__xludf.DUMMYFUNCTION("""COMPUTED_VALUE"""),2.2E7)</f>
        <v>22000000</v>
      </c>
      <c r="E43" s="33">
        <f>IFERROR(__xludf.DUMMYFUNCTION("""COMPUTED_VALUE"""),1.51E7)</f>
        <v>15100000</v>
      </c>
    </row>
    <row r="44">
      <c r="A44" s="31" t="str">
        <f>IFERROR(__xludf.DUMMYFUNCTION("""COMPUTED_VALUE"""),"Ben-Hur")</f>
        <v>Ben-Hur</v>
      </c>
      <c r="B44" s="32">
        <f>IFERROR(__xludf.DUMMYFUNCTION("""COMPUTED_VALUE"""),42601.0)</f>
        <v>42601</v>
      </c>
      <c r="C44" s="33" t="str">
        <f>IFERROR(__xludf.DUMMYFUNCTION("""COMPUTED_VALUE"""),"Adventure")</f>
        <v>Adventure</v>
      </c>
      <c r="D44" s="33">
        <f>IFERROR(__xludf.DUMMYFUNCTION("""COMPUTED_VALUE"""),1.0E8)</f>
        <v>100000000</v>
      </c>
      <c r="E44" s="33">
        <f>IFERROR(__xludf.DUMMYFUNCTION("""COMPUTED_VALUE"""),4.14E7)</f>
        <v>41400000</v>
      </c>
    </row>
    <row r="45">
      <c r="A45" s="31" t="str">
        <f>IFERROR(__xludf.DUMMYFUNCTION("""COMPUTED_VALUE"""),"Beyond the Lights")</f>
        <v>Beyond the Lights</v>
      </c>
      <c r="B45" s="32">
        <f>IFERROR(__xludf.DUMMYFUNCTION("""COMPUTED_VALUE"""),41888.0)</f>
        <v>41888</v>
      </c>
      <c r="C45" s="33" t="str">
        <f>IFERROR(__xludf.DUMMYFUNCTION("""COMPUTED_VALUE"""),"Romance")</f>
        <v>Romance</v>
      </c>
      <c r="D45" s="33">
        <f>IFERROR(__xludf.DUMMYFUNCTION("""COMPUTED_VALUE"""),7000000.0)</f>
        <v>7000000</v>
      </c>
      <c r="E45" s="33">
        <f>IFERROR(__xludf.DUMMYFUNCTION("""COMPUTED_VALUE"""),1.46E7)</f>
        <v>14600000</v>
      </c>
    </row>
    <row r="46">
      <c r="A46" s="31" t="str">
        <f>IFERROR(__xludf.DUMMYFUNCTION("""COMPUTED_VALUE"""),"Big Eyes")</f>
        <v>Big Eyes</v>
      </c>
      <c r="B46" s="32">
        <f>IFERROR(__xludf.DUMMYFUNCTION("""COMPUTED_VALUE"""),41998.0)</f>
        <v>41998</v>
      </c>
      <c r="C46" s="33" t="str">
        <f>IFERROR(__xludf.DUMMYFUNCTION("""COMPUTED_VALUE"""),"Biography")</f>
        <v>Biography</v>
      </c>
      <c r="D46" s="33">
        <f>IFERROR(__xludf.DUMMYFUNCTION("""COMPUTED_VALUE"""),1.0E7)</f>
        <v>10000000</v>
      </c>
      <c r="E46" s="33">
        <f>IFERROR(__xludf.DUMMYFUNCTION("""COMPUTED_VALUE"""),2.93E7)</f>
        <v>29300000</v>
      </c>
    </row>
    <row r="47">
      <c r="A47" s="31" t="str">
        <f>IFERROR(__xludf.DUMMYFUNCTION("""COMPUTED_VALUE"""),"Black Mass")</f>
        <v>Black Mass</v>
      </c>
      <c r="B47" s="32">
        <f>IFERROR(__xludf.DUMMYFUNCTION("""COMPUTED_VALUE"""),42251.0)</f>
        <v>42251</v>
      </c>
      <c r="C47" s="33" t="str">
        <f>IFERROR(__xludf.DUMMYFUNCTION("""COMPUTED_VALUE"""),"Action")</f>
        <v>Action</v>
      </c>
      <c r="D47" s="33">
        <f>IFERROR(__xludf.DUMMYFUNCTION("""COMPUTED_VALUE"""),5.3E7)</f>
        <v>53000000</v>
      </c>
      <c r="E47" s="33">
        <f>IFERROR(__xludf.DUMMYFUNCTION("""COMPUTED_VALUE"""),9.98E7)</f>
        <v>99800000</v>
      </c>
    </row>
    <row r="48">
      <c r="A48" s="31" t="str">
        <f>IFERROR(__xludf.DUMMYFUNCTION("""COMPUTED_VALUE"""),"Blackhat")</f>
        <v>Blackhat</v>
      </c>
      <c r="B48" s="32">
        <f>IFERROR(__xludf.DUMMYFUNCTION("""COMPUTED_VALUE"""),42012.0)</f>
        <v>42012</v>
      </c>
      <c r="C48" s="33" t="str">
        <f>IFERROR(__xludf.DUMMYFUNCTION("""COMPUTED_VALUE"""),"Action")</f>
        <v>Action</v>
      </c>
      <c r="D48" s="33">
        <f>IFERROR(__xludf.DUMMYFUNCTION("""COMPUTED_VALUE"""),7.0E7)</f>
        <v>70000000</v>
      </c>
      <c r="E48" s="33">
        <f>IFERROR(__xludf.DUMMYFUNCTION("""COMPUTED_VALUE"""),1.97E7)</f>
        <v>19700000</v>
      </c>
    </row>
    <row r="49">
      <c r="A49" s="31" t="str">
        <f>IFERROR(__xludf.DUMMYFUNCTION("""COMPUTED_VALUE"""),"Blended")</f>
        <v>Blended</v>
      </c>
      <c r="B49" s="32">
        <f>IFERROR(__xludf.DUMMYFUNCTION("""COMPUTED_VALUE"""),41782.0)</f>
        <v>41782</v>
      </c>
      <c r="C49" s="33" t="str">
        <f>IFERROR(__xludf.DUMMYFUNCTION("""COMPUTED_VALUE"""),"Comedy")</f>
        <v>Comedy</v>
      </c>
      <c r="D49" s="33">
        <f>IFERROR(__xludf.DUMMYFUNCTION("""COMPUTED_VALUE"""),4.0E7)</f>
        <v>40000000</v>
      </c>
      <c r="E49" s="33">
        <f>IFERROR(__xludf.DUMMYFUNCTION("""COMPUTED_VALUE"""),1.28E8)</f>
        <v>128000000</v>
      </c>
    </row>
    <row r="50">
      <c r="A50" s="31" t="str">
        <f>IFERROR(__xludf.DUMMYFUNCTION("""COMPUTED_VALUE"""),"Blue Jasmine")</f>
        <v>Blue Jasmine</v>
      </c>
      <c r="B50" s="32">
        <f>IFERROR(__xludf.DUMMYFUNCTION("""COMPUTED_VALUE"""),41481.0)</f>
        <v>41481</v>
      </c>
      <c r="C50" s="33" t="str">
        <f>IFERROR(__xludf.DUMMYFUNCTION("""COMPUTED_VALUE"""),"Drama")</f>
        <v>Drama</v>
      </c>
      <c r="D50" s="33">
        <f>IFERROR(__xludf.DUMMYFUNCTION("""COMPUTED_VALUE"""),1.8E7)</f>
        <v>18000000</v>
      </c>
      <c r="E50" s="33">
        <f>IFERROR(__xludf.DUMMYFUNCTION("""COMPUTED_VALUE"""),9.75E7)</f>
        <v>97500000</v>
      </c>
    </row>
    <row r="51">
      <c r="A51" s="31" t="str">
        <f>IFERROR(__xludf.DUMMYFUNCTION("""COMPUTED_VALUE"""),"Boyhood")</f>
        <v>Boyhood</v>
      </c>
      <c r="B51" s="32">
        <f>IFERROR(__xludf.DUMMYFUNCTION("""COMPUTED_VALUE"""),41658.0)</f>
        <v>41658</v>
      </c>
      <c r="C51" s="33" t="str">
        <f>IFERROR(__xludf.DUMMYFUNCTION("""COMPUTED_VALUE"""),"Drama")</f>
        <v>Drama</v>
      </c>
      <c r="D51" s="33">
        <f>IFERROR(__xludf.DUMMYFUNCTION("""COMPUTED_VALUE"""),4000000.0)</f>
        <v>4000000</v>
      </c>
      <c r="E51" s="33">
        <f>IFERROR(__xludf.DUMMYFUNCTION("""COMPUTED_VALUE"""),4.45E7)</f>
        <v>44500000</v>
      </c>
    </row>
    <row r="52">
      <c r="A52" s="31" t="str">
        <f>IFERROR(__xludf.DUMMYFUNCTION("""COMPUTED_VALUE"""),"Brick Mansions")</f>
        <v>Brick Mansions</v>
      </c>
      <c r="B52" s="32">
        <f>IFERROR(__xludf.DUMMYFUNCTION("""COMPUTED_VALUE"""),41752.0)</f>
        <v>41752</v>
      </c>
      <c r="C52" s="33" t="str">
        <f>IFERROR(__xludf.DUMMYFUNCTION("""COMPUTED_VALUE"""),"Action")</f>
        <v>Action</v>
      </c>
      <c r="D52" s="33">
        <f>IFERROR(__xludf.DUMMYFUNCTION("""COMPUTED_VALUE"""),2.3E7)</f>
        <v>23000000</v>
      </c>
      <c r="E52" s="33">
        <f>IFERROR(__xludf.DUMMYFUNCTION("""COMPUTED_VALUE"""),6.9E7)</f>
        <v>69000000</v>
      </c>
    </row>
    <row r="53">
      <c r="A53" s="31" t="str">
        <f>IFERROR(__xludf.DUMMYFUNCTION("""COMPUTED_VALUE"""),"Bridge of Spies")</f>
        <v>Bridge of Spies</v>
      </c>
      <c r="B53" s="32">
        <f>IFERROR(__xludf.DUMMYFUNCTION("""COMPUTED_VALUE"""),42281.0)</f>
        <v>42281</v>
      </c>
      <c r="C53" s="33" t="str">
        <f>IFERROR(__xludf.DUMMYFUNCTION("""COMPUTED_VALUE"""),"Drama")</f>
        <v>Drama</v>
      </c>
      <c r="D53" s="33">
        <f>IFERROR(__xludf.DUMMYFUNCTION("""COMPUTED_VALUE"""),4.0E7)</f>
        <v>40000000</v>
      </c>
      <c r="E53" s="33">
        <f>IFERROR(__xludf.DUMMYFUNCTION("""COMPUTED_VALUE"""),1.655E8)</f>
        <v>165500000</v>
      </c>
    </row>
    <row r="54">
      <c r="A54" s="31" t="str">
        <f>IFERROR(__xludf.DUMMYFUNCTION("""COMPUTED_VALUE"""),"Brooklyn")</f>
        <v>Brooklyn</v>
      </c>
      <c r="B54" s="32">
        <f>IFERROR(__xludf.DUMMYFUNCTION("""COMPUTED_VALUE"""),42030.0)</f>
        <v>42030</v>
      </c>
      <c r="C54" s="33" t="str">
        <f>IFERROR(__xludf.DUMMYFUNCTION("""COMPUTED_VALUE"""),"Drama")</f>
        <v>Drama</v>
      </c>
      <c r="D54" s="33">
        <f>IFERROR(__xludf.DUMMYFUNCTION("""COMPUTED_VALUE"""),1.1E7)</f>
        <v>11000000</v>
      </c>
      <c r="E54" s="33">
        <f>IFERROR(__xludf.DUMMYFUNCTION("""COMPUTED_VALUE"""),6.21E7)</f>
        <v>62100000</v>
      </c>
    </row>
    <row r="55">
      <c r="A55" s="31" t="str">
        <f>IFERROR(__xludf.DUMMYFUNCTION("""COMPUTED_VALUE"""),"Bullet to the Head")</f>
        <v>Bullet to the Head</v>
      </c>
      <c r="B55" s="32">
        <f>IFERROR(__xludf.DUMMYFUNCTION("""COMPUTED_VALUE"""),41306.0)</f>
        <v>41306</v>
      </c>
      <c r="C55" s="33" t="str">
        <f>IFERROR(__xludf.DUMMYFUNCTION("""COMPUTED_VALUE"""),"Crime")</f>
        <v>Crime</v>
      </c>
      <c r="D55" s="33">
        <f>IFERROR(__xludf.DUMMYFUNCTION("""COMPUTED_VALUE"""),5.5E7)</f>
        <v>55000000</v>
      </c>
      <c r="E55" s="33">
        <f>IFERROR(__xludf.DUMMYFUNCTION("""COMPUTED_VALUE"""),2.19E7)</f>
        <v>21900000</v>
      </c>
    </row>
    <row r="56">
      <c r="A56" s="31" t="str">
        <f>IFERROR(__xludf.DUMMYFUNCTION("""COMPUTED_VALUE"""),"Burnt")</f>
        <v>Burnt</v>
      </c>
      <c r="B56" s="32">
        <f>IFERROR(__xludf.DUMMYFUNCTION("""COMPUTED_VALUE"""),42283.0)</f>
        <v>42283</v>
      </c>
      <c r="C56" s="33" t="str">
        <f>IFERROR(__xludf.DUMMYFUNCTION("""COMPUTED_VALUE"""),"Comedy")</f>
        <v>Comedy</v>
      </c>
      <c r="D56" s="33">
        <f>IFERROR(__xludf.DUMMYFUNCTION("""COMPUTED_VALUE"""),2.0E7)</f>
        <v>20000000</v>
      </c>
      <c r="E56" s="33">
        <f>IFERROR(__xludf.DUMMYFUNCTION("""COMPUTED_VALUE"""),3.66E7)</f>
        <v>36600000</v>
      </c>
    </row>
    <row r="57">
      <c r="A57" s="31" t="str">
        <f>IFERROR(__xludf.DUMMYFUNCTION("""COMPUTED_VALUE"""),"By the Sea")</f>
        <v>By the Sea</v>
      </c>
      <c r="B57" s="32">
        <f>IFERROR(__xludf.DUMMYFUNCTION("""COMPUTED_VALUE"""),42313.0)</f>
        <v>42313</v>
      </c>
      <c r="C57" s="33" t="str">
        <f>IFERROR(__xludf.DUMMYFUNCTION("""COMPUTED_VALUE"""),"Drama")</f>
        <v>Drama</v>
      </c>
      <c r="D57" s="33">
        <f>IFERROR(__xludf.DUMMYFUNCTION("""COMPUTED_VALUE"""),1.0E7)</f>
        <v>10000000</v>
      </c>
      <c r="E57" s="33">
        <f>IFERROR(__xludf.DUMMYFUNCTION("""COMPUTED_VALUE"""),3300000.0)</f>
        <v>3300000</v>
      </c>
    </row>
    <row r="58">
      <c r="A58" s="31" t="str">
        <f>IFERROR(__xludf.DUMMYFUNCTION("""COMPUTED_VALUE"""),"Captain America: The Winter Soldier")</f>
        <v>Captain America: The Winter Soldier</v>
      </c>
      <c r="B58" s="32">
        <f>IFERROR(__xludf.DUMMYFUNCTION("""COMPUTED_VALUE"""),41711.0)</f>
        <v>41711</v>
      </c>
      <c r="C58" s="33" t="str">
        <f>IFERROR(__xludf.DUMMYFUNCTION("""COMPUTED_VALUE"""),"Action")</f>
        <v>Action</v>
      </c>
      <c r="D58" s="33">
        <f>IFERROR(__xludf.DUMMYFUNCTION("""COMPUTED_VALUE"""),1.7E8)</f>
        <v>170000000</v>
      </c>
      <c r="E58" s="33">
        <f>IFERROR(__xludf.DUMMYFUNCTION("""COMPUTED_VALUE"""),7.144E8)</f>
        <v>714400000</v>
      </c>
    </row>
    <row r="59">
      <c r="A59" s="31" t="str">
        <f>IFERROR(__xludf.DUMMYFUNCTION("""COMPUTED_VALUE"""),"Captive")</f>
        <v>Captive</v>
      </c>
      <c r="B59" s="32">
        <f>IFERROR(__xludf.DUMMYFUNCTION("""COMPUTED_VALUE"""),42265.0)</f>
        <v>42265</v>
      </c>
      <c r="C59" s="33" t="str">
        <f>IFERROR(__xludf.DUMMYFUNCTION("""COMPUTED_VALUE"""),"Crime")</f>
        <v>Crime</v>
      </c>
      <c r="D59" s="33">
        <f>IFERROR(__xludf.DUMMYFUNCTION("""COMPUTED_VALUE"""),2000000.0)</f>
        <v>2000000</v>
      </c>
      <c r="E59" s="33">
        <f>IFERROR(__xludf.DUMMYFUNCTION("""COMPUTED_VALUE"""),2800000.0)</f>
        <v>2800000</v>
      </c>
    </row>
    <row r="60">
      <c r="A60" s="31" t="str">
        <f>IFERROR(__xludf.DUMMYFUNCTION("""COMPUTED_VALUE"""),"Carol")</f>
        <v>Carol</v>
      </c>
      <c r="B60" s="32">
        <f>IFERROR(__xludf.DUMMYFUNCTION("""COMPUTED_VALUE"""),42141.0)</f>
        <v>42141</v>
      </c>
      <c r="C60" s="33" t="str">
        <f>IFERROR(__xludf.DUMMYFUNCTION("""COMPUTED_VALUE"""),"Drama")</f>
        <v>Drama</v>
      </c>
      <c r="D60" s="33">
        <f>IFERROR(__xludf.DUMMYFUNCTION("""COMPUTED_VALUE"""),1.18E7)</f>
        <v>11800000</v>
      </c>
      <c r="E60" s="33">
        <f>IFERROR(__xludf.DUMMYFUNCTION("""COMPUTED_VALUE"""),4.03E7)</f>
        <v>40300000</v>
      </c>
    </row>
    <row r="61">
      <c r="A61" s="31" t="str">
        <f>IFERROR(__xludf.DUMMYFUNCTION("""COMPUTED_VALUE"""),"Central Intelligence")</f>
        <v>Central Intelligence</v>
      </c>
      <c r="B61" s="32">
        <f>IFERROR(__xludf.DUMMYFUNCTION("""COMPUTED_VALUE"""),42531.0)</f>
        <v>42531</v>
      </c>
      <c r="C61" s="33" t="str">
        <f>IFERROR(__xludf.DUMMYFUNCTION("""COMPUTED_VALUE"""),"Action")</f>
        <v>Action</v>
      </c>
      <c r="D61" s="33">
        <f>IFERROR(__xludf.DUMMYFUNCTION("""COMPUTED_VALUE"""),5.0E7)</f>
        <v>50000000</v>
      </c>
      <c r="E61" s="33">
        <f>IFERROR(__xludf.DUMMYFUNCTION("""COMPUTED_VALUE"""),2.122E8)</f>
        <v>212200000</v>
      </c>
    </row>
    <row r="62">
      <c r="A62" s="31" t="str">
        <f>IFERROR(__xludf.DUMMYFUNCTION("""COMPUTED_VALUE"""),"Cesar Chavez")</f>
        <v>Cesar Chavez</v>
      </c>
      <c r="B62" s="32">
        <f>IFERROR(__xludf.DUMMYFUNCTION("""COMPUTED_VALUE"""),41682.0)</f>
        <v>41682</v>
      </c>
      <c r="C62" s="33" t="str">
        <f>IFERROR(__xludf.DUMMYFUNCTION("""COMPUTED_VALUE"""),"Drama")</f>
        <v>Drama</v>
      </c>
      <c r="D62" s="33">
        <f>IFERROR(__xludf.DUMMYFUNCTION("""COMPUTED_VALUE"""),1.0E7)</f>
        <v>10000000</v>
      </c>
      <c r="E62" s="33">
        <f>IFERROR(__xludf.DUMMYFUNCTION("""COMPUTED_VALUE"""),6700000.0)</f>
        <v>6700000</v>
      </c>
    </row>
    <row r="63">
      <c r="A63" s="31" t="str">
        <f>IFERROR(__xludf.DUMMYFUNCTION("""COMPUTED_VALUE"""),"Chappie")</f>
        <v>Chappie</v>
      </c>
      <c r="B63" s="32">
        <f>IFERROR(__xludf.DUMMYFUNCTION("""COMPUTED_VALUE"""),42067.0)</f>
        <v>42067</v>
      </c>
      <c r="C63" s="33" t="str">
        <f>IFERROR(__xludf.DUMMYFUNCTION("""COMPUTED_VALUE"""),"Sci-Fi")</f>
        <v>Sci-Fi</v>
      </c>
      <c r="D63" s="33">
        <f>IFERROR(__xludf.DUMMYFUNCTION("""COMPUTED_VALUE"""),4.9E7)</f>
        <v>49000000</v>
      </c>
      <c r="E63" s="33">
        <f>IFERROR(__xludf.DUMMYFUNCTION("""COMPUTED_VALUE"""),1.021E8)</f>
        <v>102100000</v>
      </c>
    </row>
    <row r="64">
      <c r="A64" s="31" t="str">
        <f>IFERROR(__xludf.DUMMYFUNCTION("""COMPUTED_VALUE"""),"Chasing Mavericks")</f>
        <v>Chasing Mavericks</v>
      </c>
      <c r="B64" s="32">
        <f>IFERROR(__xludf.DUMMYFUNCTION("""COMPUTED_VALUE"""),41208.0)</f>
        <v>41208</v>
      </c>
      <c r="C64" s="33" t="str">
        <f>IFERROR(__xludf.DUMMYFUNCTION("""COMPUTED_VALUE"""),"Biography")</f>
        <v>Biography</v>
      </c>
      <c r="D64" s="33">
        <f>IFERROR(__xludf.DUMMYFUNCTION("""COMPUTED_VALUE"""),2.0E7)</f>
        <v>20000000</v>
      </c>
      <c r="E64" s="33">
        <f>IFERROR(__xludf.DUMMYFUNCTION("""COMPUTED_VALUE"""),8300000.000000001)</f>
        <v>8300000</v>
      </c>
    </row>
    <row r="65">
      <c r="A65" s="31" t="str">
        <f>IFERROR(__xludf.DUMMYFUNCTION("""COMPUTED_VALUE"""),"Chef")</f>
        <v>Chef</v>
      </c>
      <c r="B65" s="32">
        <f>IFERROR(__xludf.DUMMYFUNCTION("""COMPUTED_VALUE"""),41705.0)</f>
        <v>41705</v>
      </c>
      <c r="C65" s="33" t="str">
        <f>IFERROR(__xludf.DUMMYFUNCTION("""COMPUTED_VALUE"""),"Comedy")</f>
        <v>Comedy</v>
      </c>
      <c r="D65" s="33">
        <f>IFERROR(__xludf.DUMMYFUNCTION("""COMPUTED_VALUE"""),1.1E7)</f>
        <v>11000000</v>
      </c>
      <c r="E65" s="33">
        <f>IFERROR(__xludf.DUMMYFUNCTION("""COMPUTED_VALUE"""),4.6E7)</f>
        <v>46000000</v>
      </c>
    </row>
    <row r="66">
      <c r="A66" s="31" t="str">
        <f>IFERROR(__xludf.DUMMYFUNCTION("""COMPUTED_VALUE"""),"Chernobyl Diaries")</f>
        <v>Chernobyl Diaries</v>
      </c>
      <c r="B66" s="32">
        <f>IFERROR(__xludf.DUMMYFUNCTION("""COMPUTED_VALUE"""),41054.0)</f>
        <v>41054</v>
      </c>
      <c r="C66" s="33" t="str">
        <f>IFERROR(__xludf.DUMMYFUNCTION("""COMPUTED_VALUE"""),"Horror")</f>
        <v>Horror</v>
      </c>
      <c r="D66" s="33">
        <f>IFERROR(__xludf.DUMMYFUNCTION("""COMPUTED_VALUE"""),1000000.0)</f>
        <v>1000000</v>
      </c>
      <c r="E66" s="33">
        <f>IFERROR(__xludf.DUMMYFUNCTION("""COMPUTED_VALUE"""),3.72E7)</f>
        <v>37200000</v>
      </c>
    </row>
    <row r="67">
      <c r="A67" s="31" t="str">
        <f>IFERROR(__xludf.DUMMYFUNCTION("""COMPUTED_VALUE"""),"Child 44")</f>
        <v>Child 44</v>
      </c>
      <c r="B67" s="32">
        <f>IFERROR(__xludf.DUMMYFUNCTION("""COMPUTED_VALUE"""),42111.0)</f>
        <v>42111</v>
      </c>
      <c r="C67" s="33" t="str">
        <f>IFERROR(__xludf.DUMMYFUNCTION("""COMPUTED_VALUE"""),"Drama")</f>
        <v>Drama</v>
      </c>
      <c r="D67" s="33">
        <f>IFERROR(__xludf.DUMMYFUNCTION("""COMPUTED_VALUE"""),5.0E7)</f>
        <v>50000000</v>
      </c>
      <c r="E67" s="33">
        <f>IFERROR(__xludf.DUMMYFUNCTION("""COMPUTED_VALUE"""),1.3E7)</f>
        <v>13000000</v>
      </c>
    </row>
    <row r="68">
      <c r="A68" s="31" t="str">
        <f>IFERROR(__xludf.DUMMYFUNCTION("""COMPUTED_VALUE"""),"Chronicle")</f>
        <v>Chronicle</v>
      </c>
      <c r="B68" s="32">
        <f>IFERROR(__xludf.DUMMYFUNCTION("""COMPUTED_VALUE"""),40942.0)</f>
        <v>40942</v>
      </c>
      <c r="C68" s="33" t="str">
        <f>IFERROR(__xludf.DUMMYFUNCTION("""COMPUTED_VALUE"""),"Sci-Fi")</f>
        <v>Sci-Fi</v>
      </c>
      <c r="D68" s="33">
        <f>IFERROR(__xludf.DUMMYFUNCTION("""COMPUTED_VALUE"""),1.2E7)</f>
        <v>12000000</v>
      </c>
      <c r="E68" s="33">
        <f>IFERROR(__xludf.DUMMYFUNCTION("""COMPUTED_VALUE"""),1.266E8)</f>
        <v>126600000</v>
      </c>
    </row>
    <row r="69">
      <c r="A69" s="31" t="str">
        <f>IFERROR(__xludf.DUMMYFUNCTION("""COMPUTED_VALUE"""),"Cloud Atlas")</f>
        <v>Cloud Atlas</v>
      </c>
      <c r="B69" s="32">
        <f>IFERROR(__xludf.DUMMYFUNCTION("""COMPUTED_VALUE"""),41208.0)</f>
        <v>41208</v>
      </c>
      <c r="C69" s="33" t="str">
        <f>IFERROR(__xludf.DUMMYFUNCTION("""COMPUTED_VALUE"""),"Drama")</f>
        <v>Drama</v>
      </c>
      <c r="D69" s="33">
        <f>IFERROR(__xludf.DUMMYFUNCTION("""COMPUTED_VALUE"""),1.285E8)</f>
        <v>128500000</v>
      </c>
      <c r="E69" s="33">
        <f>IFERROR(__xludf.DUMMYFUNCTION("""COMPUTED_VALUE"""),1.305E8)</f>
        <v>130500000</v>
      </c>
    </row>
    <row r="70">
      <c r="A70" s="31" t="str">
        <f>IFERROR(__xludf.DUMMYFUNCTION("""COMPUTED_VALUE"""),"Cloudy with a Chance of Meatballs 2")</f>
        <v>Cloudy with a Chance of Meatballs 2</v>
      </c>
      <c r="B70" s="32">
        <f>IFERROR(__xludf.DUMMYFUNCTION("""COMPUTED_VALUE"""),41544.0)</f>
        <v>41544</v>
      </c>
      <c r="C70" s="33" t="str">
        <f>IFERROR(__xludf.DUMMYFUNCTION("""COMPUTED_VALUE"""),"Family")</f>
        <v>Family</v>
      </c>
      <c r="D70" s="33">
        <f>IFERROR(__xludf.DUMMYFUNCTION("""COMPUTED_VALUE"""),7.8E7)</f>
        <v>78000000</v>
      </c>
      <c r="E70" s="33">
        <f>IFERROR(__xludf.DUMMYFUNCTION("""COMPUTED_VALUE"""),2.743E8)</f>
        <v>274300000</v>
      </c>
    </row>
    <row r="71">
      <c r="A71" s="31" t="str">
        <f>IFERROR(__xludf.DUMMYFUNCTION("""COMPUTED_VALUE"""),"Concussion")</f>
        <v>Concussion</v>
      </c>
      <c r="B71" s="32">
        <f>IFERROR(__xludf.DUMMYFUNCTION("""COMPUTED_VALUE"""),42363.0)</f>
        <v>42363</v>
      </c>
      <c r="C71" s="33" t="str">
        <f>IFERROR(__xludf.DUMMYFUNCTION("""COMPUTED_VALUE"""),"Drama")</f>
        <v>Drama</v>
      </c>
      <c r="D71" s="33">
        <f>IFERROR(__xludf.DUMMYFUNCTION("""COMPUTED_VALUE"""),5.7E7)</f>
        <v>57000000</v>
      </c>
      <c r="E71" s="33">
        <f>IFERROR(__xludf.DUMMYFUNCTION("""COMPUTED_VALUE"""),5.03E7)</f>
        <v>50300000</v>
      </c>
    </row>
    <row r="72">
      <c r="A72" s="31" t="str">
        <f>IFERROR(__xludf.DUMMYFUNCTION("""COMPUTED_VALUE"""),"Creed")</f>
        <v>Creed</v>
      </c>
      <c r="B72" s="32">
        <f>IFERROR(__xludf.DUMMYFUNCTION("""COMPUTED_VALUE"""),42333.0)</f>
        <v>42333</v>
      </c>
      <c r="C72" s="33" t="str">
        <f>IFERROR(__xludf.DUMMYFUNCTION("""COMPUTED_VALUE"""),"Drama")</f>
        <v>Drama</v>
      </c>
      <c r="D72" s="33">
        <f>IFERROR(__xludf.DUMMYFUNCTION("""COMPUTED_VALUE"""),4.0E7)</f>
        <v>40000000</v>
      </c>
      <c r="E72" s="33">
        <f>IFERROR(__xludf.DUMMYFUNCTION("""COMPUTED_VALUE"""),1.736E8)</f>
        <v>173600000</v>
      </c>
    </row>
    <row r="73">
      <c r="A73" s="31" t="str">
        <f>IFERROR(__xludf.DUMMYFUNCTION("""COMPUTED_VALUE"""),"Criminal")</f>
        <v>Criminal</v>
      </c>
      <c r="B73" s="32">
        <f>IFERROR(__xludf.DUMMYFUNCTION("""COMPUTED_VALUE"""),42475.0)</f>
        <v>42475</v>
      </c>
      <c r="C73" s="33" t="str">
        <f>IFERROR(__xludf.DUMMYFUNCTION("""COMPUTED_VALUE"""),"Action")</f>
        <v>Action</v>
      </c>
      <c r="D73" s="33">
        <f>IFERROR(__xludf.DUMMYFUNCTION("""COMPUTED_VALUE"""),3.15E7)</f>
        <v>31500000</v>
      </c>
      <c r="E73" s="33">
        <f>IFERROR(__xludf.DUMMYFUNCTION("""COMPUTED_VALUE"""),3.56E7)</f>
        <v>35600000</v>
      </c>
    </row>
    <row r="74">
      <c r="A74" s="31" t="str">
        <f>IFERROR(__xludf.DUMMYFUNCTION("""COMPUTED_VALUE"""),"Crimson Peak")</f>
        <v>Crimson Peak</v>
      </c>
      <c r="B74" s="32">
        <f>IFERROR(__xludf.DUMMYFUNCTION("""COMPUTED_VALUE"""),42293.0)</f>
        <v>42293</v>
      </c>
      <c r="C74" s="33" t="str">
        <f>IFERROR(__xludf.DUMMYFUNCTION("""COMPUTED_VALUE"""),"Horror")</f>
        <v>Horror</v>
      </c>
      <c r="D74" s="33">
        <f>IFERROR(__xludf.DUMMYFUNCTION("""COMPUTED_VALUE"""),5.5E7)</f>
        <v>55000000</v>
      </c>
      <c r="E74" s="33">
        <f>IFERROR(__xludf.DUMMYFUNCTION("""COMPUTED_VALUE"""),7.47E7)</f>
        <v>74700000</v>
      </c>
    </row>
    <row r="75">
      <c r="A75" s="31" t="str">
        <f>IFERROR(__xludf.DUMMYFUNCTION("""COMPUTED_VALUE"""),"Daddy's Home")</f>
        <v>Daddy's Home</v>
      </c>
      <c r="B75" s="32">
        <f>IFERROR(__xludf.DUMMYFUNCTION("""COMPUTED_VALUE"""),42363.0)</f>
        <v>42363</v>
      </c>
      <c r="C75" s="33" t="str">
        <f>IFERROR(__xludf.DUMMYFUNCTION("""COMPUTED_VALUE"""),"Comedy")</f>
        <v>Comedy</v>
      </c>
      <c r="D75" s="33">
        <f>IFERROR(__xludf.DUMMYFUNCTION("""COMPUTED_VALUE"""),6.9E7)</f>
        <v>69000000</v>
      </c>
      <c r="E75" s="33">
        <f>IFERROR(__xludf.DUMMYFUNCTION("""COMPUTED_VALUE"""),2.404E8)</f>
        <v>240400000</v>
      </c>
    </row>
    <row r="76">
      <c r="A76" s="31" t="str">
        <f>IFERROR(__xludf.DUMMYFUNCTION("""COMPUTED_VALUE"""),"Danny Collins")</f>
        <v>Danny Collins</v>
      </c>
      <c r="B76" s="32">
        <f>IFERROR(__xludf.DUMMYFUNCTION("""COMPUTED_VALUE"""),42083.0)</f>
        <v>42083</v>
      </c>
      <c r="C76" s="33" t="str">
        <f>IFERROR(__xludf.DUMMYFUNCTION("""COMPUTED_VALUE"""),"Comedy")</f>
        <v>Comedy</v>
      </c>
      <c r="D76" s="33">
        <f>IFERROR(__xludf.DUMMYFUNCTION("""COMPUTED_VALUE"""),1.0E7)</f>
        <v>10000000</v>
      </c>
      <c r="E76" s="33">
        <f>IFERROR(__xludf.DUMMYFUNCTION("""COMPUTED_VALUE"""),8199999.999999999)</f>
        <v>8200000</v>
      </c>
    </row>
    <row r="77">
      <c r="A77" s="31" t="str">
        <f>IFERROR(__xludf.DUMMYFUNCTION("""COMPUTED_VALUE"""),"Dark Shadows")</f>
        <v>Dark Shadows</v>
      </c>
      <c r="B77" s="32">
        <f>IFERROR(__xludf.DUMMYFUNCTION("""COMPUTED_VALUE"""),41040.0)</f>
        <v>41040</v>
      </c>
      <c r="C77" s="33" t="str">
        <f>IFERROR(__xludf.DUMMYFUNCTION("""COMPUTED_VALUE"""),"Comedy")</f>
        <v>Comedy</v>
      </c>
      <c r="D77" s="33">
        <f>IFERROR(__xludf.DUMMYFUNCTION("""COMPUTED_VALUE"""),1.5E8)</f>
        <v>150000000</v>
      </c>
      <c r="E77" s="33">
        <f>IFERROR(__xludf.DUMMYFUNCTION("""COMPUTED_VALUE"""),2.455E8)</f>
        <v>245500000</v>
      </c>
    </row>
    <row r="78">
      <c r="A78" s="31" t="str">
        <f>IFERROR(__xludf.DUMMYFUNCTION("""COMPUTED_VALUE"""),"Dark Skies")</f>
        <v>Dark Skies</v>
      </c>
      <c r="B78" s="32">
        <f>IFERROR(__xludf.DUMMYFUNCTION("""COMPUTED_VALUE"""),41327.0)</f>
        <v>41327</v>
      </c>
      <c r="C78" s="33" t="str">
        <f>IFERROR(__xludf.DUMMYFUNCTION("""COMPUTED_VALUE"""),"Horror")</f>
        <v>Horror</v>
      </c>
      <c r="D78" s="33">
        <f>IFERROR(__xludf.DUMMYFUNCTION("""COMPUTED_VALUE"""),3500000.0)</f>
        <v>3500000</v>
      </c>
      <c r="E78" s="33">
        <f>IFERROR(__xludf.DUMMYFUNCTION("""COMPUTED_VALUE"""),2.64E7)</f>
        <v>26400000</v>
      </c>
    </row>
    <row r="79">
      <c r="A79" s="31" t="str">
        <f>IFERROR(__xludf.DUMMYFUNCTION("""COMPUTED_VALUE"""),"Dawn of the Planet of the Apes")</f>
        <v>Dawn of the Planet of the Apes</v>
      </c>
      <c r="B79" s="32">
        <f>IFERROR(__xludf.DUMMYFUNCTION("""COMPUTED_VALUE"""),41816.0)</f>
        <v>41816</v>
      </c>
      <c r="C79" s="33" t="str">
        <f>IFERROR(__xludf.DUMMYFUNCTION("""COMPUTED_VALUE"""),"Action")</f>
        <v>Action</v>
      </c>
      <c r="D79" s="33">
        <f>IFERROR(__xludf.DUMMYFUNCTION("""COMPUTED_VALUE"""),2.35E8)</f>
        <v>235000000</v>
      </c>
      <c r="E79" s="33">
        <f>IFERROR(__xludf.DUMMYFUNCTION("""COMPUTED_VALUE"""),7.106E8)</f>
        <v>710600000</v>
      </c>
    </row>
    <row r="80">
      <c r="A80" s="31" t="str">
        <f>IFERROR(__xludf.DUMMYFUNCTION("""COMPUTED_VALUE"""),"Dead Man Down")</f>
        <v>Dead Man Down</v>
      </c>
      <c r="B80" s="32">
        <f>IFERROR(__xludf.DUMMYFUNCTION("""COMPUTED_VALUE"""),41341.0)</f>
        <v>41341</v>
      </c>
      <c r="C80" s="33" t="str">
        <f>IFERROR(__xludf.DUMMYFUNCTION("""COMPUTED_VALUE"""),"Action")</f>
        <v>Action</v>
      </c>
      <c r="D80" s="33">
        <f>IFERROR(__xludf.DUMMYFUNCTION("""COMPUTED_VALUE"""),3.0E7)</f>
        <v>30000000</v>
      </c>
      <c r="E80" s="33">
        <f>IFERROR(__xludf.DUMMYFUNCTION("""COMPUTED_VALUE"""),1.81E7)</f>
        <v>18100000</v>
      </c>
    </row>
    <row r="81">
      <c r="A81" s="31" t="str">
        <f>IFERROR(__xludf.DUMMYFUNCTION("""COMPUTED_VALUE"""),"Deadpool")</f>
        <v>Deadpool</v>
      </c>
      <c r="B81" s="32">
        <f>IFERROR(__xludf.DUMMYFUNCTION("""COMPUTED_VALUE"""),42408.0)</f>
        <v>42408</v>
      </c>
      <c r="C81" s="33" t="str">
        <f>IFERROR(__xludf.DUMMYFUNCTION("""COMPUTED_VALUE"""),"Action")</f>
        <v>Action</v>
      </c>
      <c r="D81" s="33">
        <f>IFERROR(__xludf.DUMMYFUNCTION("""COMPUTED_VALUE"""),5.8E7)</f>
        <v>58000000</v>
      </c>
      <c r="E81" s="33">
        <f>IFERROR(__xludf.DUMMYFUNCTION("""COMPUTED_VALUE"""),7.826E8)</f>
        <v>782600000</v>
      </c>
    </row>
    <row r="82">
      <c r="A82" s="31" t="str">
        <f>IFERROR(__xludf.DUMMYFUNCTION("""COMPUTED_VALUE"""),"Declaration of War")</f>
        <v>Declaration of War</v>
      </c>
      <c r="B82" s="32">
        <f>IFERROR(__xludf.DUMMYFUNCTION("""COMPUTED_VALUE"""),40935.0)</f>
        <v>40935</v>
      </c>
      <c r="C82" s="33" t="str">
        <f>IFERROR(__xludf.DUMMYFUNCTION("""COMPUTED_VALUE"""),"Romance")</f>
        <v>Romance</v>
      </c>
      <c r="D82" s="33">
        <f>IFERROR(__xludf.DUMMYFUNCTION("""COMPUTED_VALUE"""),1500000.0)</f>
        <v>1500000</v>
      </c>
      <c r="E82" s="33">
        <f>IFERROR(__xludf.DUMMYFUNCTION("""COMPUTED_VALUE"""),6500000.0)</f>
        <v>6500000</v>
      </c>
    </row>
    <row r="83">
      <c r="A83" s="31" t="str">
        <f>IFERROR(__xludf.DUMMYFUNCTION("""COMPUTED_VALUE"""),"Deliver Us from Evil")</f>
        <v>Deliver Us from Evil</v>
      </c>
      <c r="B83" s="32">
        <f>IFERROR(__xludf.DUMMYFUNCTION("""COMPUTED_VALUE"""),41822.0)</f>
        <v>41822</v>
      </c>
      <c r="C83" s="33" t="str">
        <f>IFERROR(__xludf.DUMMYFUNCTION("""COMPUTED_VALUE"""),"Horror")</f>
        <v>Horror</v>
      </c>
      <c r="D83" s="33">
        <f>IFERROR(__xludf.DUMMYFUNCTION("""COMPUTED_VALUE"""),3.0E7)</f>
        <v>30000000</v>
      </c>
      <c r="E83" s="33">
        <f>IFERROR(__xludf.DUMMYFUNCTION("""COMPUTED_VALUE"""),8.79E7)</f>
        <v>87900000</v>
      </c>
    </row>
    <row r="84">
      <c r="A84" s="31" t="str">
        <f>IFERROR(__xludf.DUMMYFUNCTION("""COMPUTED_VALUE"""),"Despicable Me 2")</f>
        <v>Despicable Me 2</v>
      </c>
      <c r="B84" s="32">
        <f>IFERROR(__xludf.DUMMYFUNCTION("""COMPUTED_VALUE"""),41445.0)</f>
        <v>41445</v>
      </c>
      <c r="C84" s="33" t="str">
        <f>IFERROR(__xludf.DUMMYFUNCTION("""COMPUTED_VALUE"""),"Comedy")</f>
        <v>Comedy</v>
      </c>
      <c r="D84" s="33">
        <f>IFERROR(__xludf.DUMMYFUNCTION("""COMPUTED_VALUE"""),7.6E7)</f>
        <v>76000000</v>
      </c>
      <c r="E84" s="33">
        <f>IFERROR(__xludf.DUMMYFUNCTION("""COMPUTED_VALUE"""),9.708E8)</f>
        <v>970800000</v>
      </c>
    </row>
    <row r="85">
      <c r="A85" s="31" t="str">
        <f>IFERROR(__xludf.DUMMYFUNCTION("""COMPUTED_VALUE"""),"Devil's Due")</f>
        <v>Devil's Due</v>
      </c>
      <c r="B85" s="32">
        <f>IFERROR(__xludf.DUMMYFUNCTION("""COMPUTED_VALUE"""),41656.0)</f>
        <v>41656</v>
      </c>
      <c r="C85" s="33" t="str">
        <f>IFERROR(__xludf.DUMMYFUNCTION("""COMPUTED_VALUE"""),"Horror")</f>
        <v>Horror</v>
      </c>
      <c r="D85" s="33">
        <f>IFERROR(__xludf.DUMMYFUNCTION("""COMPUTED_VALUE"""),7000000.0)</f>
        <v>7000000</v>
      </c>
      <c r="E85" s="33">
        <f>IFERROR(__xludf.DUMMYFUNCTION("""COMPUTED_VALUE"""),3.69E7)</f>
        <v>36900000</v>
      </c>
    </row>
    <row r="86">
      <c r="A86" s="31" t="str">
        <f>IFERROR(__xludf.DUMMYFUNCTION("""COMPUTED_VALUE"""),"Diary of a Wimpy Kid: Dog Days")</f>
        <v>Diary of a Wimpy Kid: Dog Days</v>
      </c>
      <c r="B86" s="32">
        <f>IFERROR(__xludf.DUMMYFUNCTION("""COMPUTED_VALUE"""),41124.0)</f>
        <v>41124</v>
      </c>
      <c r="C86" s="33" t="str">
        <f>IFERROR(__xludf.DUMMYFUNCTION("""COMPUTED_VALUE"""),"Comedy")</f>
        <v>Comedy</v>
      </c>
      <c r="D86" s="33">
        <f>IFERROR(__xludf.DUMMYFUNCTION("""COMPUTED_VALUE"""),2.2E7)</f>
        <v>22000000</v>
      </c>
      <c r="E86" s="33">
        <f>IFERROR(__xludf.DUMMYFUNCTION("""COMPUTED_VALUE"""),7.71E7)</f>
        <v>77100000</v>
      </c>
    </row>
    <row r="87">
      <c r="A87" s="31" t="str">
        <f>IFERROR(__xludf.DUMMYFUNCTION("""COMPUTED_VALUE"""),"Divergent")</f>
        <v>Divergent</v>
      </c>
      <c r="B87" s="32">
        <f>IFERROR(__xludf.DUMMYFUNCTION("""COMPUTED_VALUE"""),41716.0)</f>
        <v>41716</v>
      </c>
      <c r="C87" s="33" t="str">
        <f>IFERROR(__xludf.DUMMYFUNCTION("""COMPUTED_VALUE"""),"Sci-Fi")</f>
        <v>Sci-Fi</v>
      </c>
      <c r="D87" s="33">
        <f>IFERROR(__xludf.DUMMYFUNCTION("""COMPUTED_VALUE"""),8.5E7)</f>
        <v>85000000</v>
      </c>
      <c r="E87" s="33">
        <f>IFERROR(__xludf.DUMMYFUNCTION("""COMPUTED_VALUE"""),2.889E8)</f>
        <v>288900000</v>
      </c>
    </row>
    <row r="88">
      <c r="A88" s="31" t="str">
        <f>IFERROR(__xludf.DUMMYFUNCTION("""COMPUTED_VALUE"""),"Django Unchained")</f>
        <v>Django Unchained</v>
      </c>
      <c r="B88" s="32">
        <f>IFERROR(__xludf.DUMMYFUNCTION("""COMPUTED_VALUE"""),41268.0)</f>
        <v>41268</v>
      </c>
      <c r="C88" s="33" t="str">
        <f>IFERROR(__xludf.DUMMYFUNCTION("""COMPUTED_VALUE"""),"Action")</f>
        <v>Action</v>
      </c>
      <c r="D88" s="33">
        <f>IFERROR(__xludf.DUMMYFUNCTION("""COMPUTED_VALUE"""),1.0E8)</f>
        <v>100000000</v>
      </c>
      <c r="E88" s="33">
        <f>IFERROR(__xludf.DUMMYFUNCTION("""COMPUTED_VALUE"""),4.254E8)</f>
        <v>425400000</v>
      </c>
    </row>
    <row r="89">
      <c r="A89" s="31" t="str">
        <f>IFERROR(__xludf.DUMMYFUNCTION("""COMPUTED_VALUE"""),"Dolphin Tale 2")</f>
        <v>Dolphin Tale 2</v>
      </c>
      <c r="B89" s="32">
        <f>IFERROR(__xludf.DUMMYFUNCTION("""COMPUTED_VALUE"""),41894.0)</f>
        <v>41894</v>
      </c>
      <c r="C89" s="33" t="str">
        <f>IFERROR(__xludf.DUMMYFUNCTION("""COMPUTED_VALUE"""),"Family")</f>
        <v>Family</v>
      </c>
      <c r="D89" s="33">
        <f>IFERROR(__xludf.DUMMYFUNCTION("""COMPUTED_VALUE"""),3.6E7)</f>
        <v>36000000</v>
      </c>
      <c r="E89" s="33">
        <f>IFERROR(__xludf.DUMMYFUNCTION("""COMPUTED_VALUE"""),5.78E7)</f>
        <v>57800000</v>
      </c>
    </row>
    <row r="90">
      <c r="A90" s="31" t="str">
        <f>IFERROR(__xludf.DUMMYFUNCTION("""COMPUTED_VALUE"""),"Don't Breathe")</f>
        <v>Don't Breathe</v>
      </c>
      <c r="B90" s="32">
        <f>IFERROR(__xludf.DUMMYFUNCTION("""COMPUTED_VALUE"""),42608.0)</f>
        <v>42608</v>
      </c>
      <c r="C90" s="33" t="str">
        <f>IFERROR(__xludf.DUMMYFUNCTION("""COMPUTED_VALUE"""),"Thriller")</f>
        <v>Thriller</v>
      </c>
      <c r="D90" s="33">
        <f>IFERROR(__xludf.DUMMYFUNCTION("""COMPUTED_VALUE"""),9900000.0)</f>
        <v>9900000</v>
      </c>
      <c r="E90" s="33">
        <f>IFERROR(__xludf.DUMMYFUNCTION("""COMPUTED_VALUE"""),2.83E7)</f>
        <v>28300000</v>
      </c>
    </row>
    <row r="91">
      <c r="A91" s="31" t="str">
        <f>IFERROR(__xludf.DUMMYFUNCTION("""COMPUTED_VALUE"""),"Dr. Seuss' The Lorax")</f>
        <v>Dr. Seuss' The Lorax</v>
      </c>
      <c r="B91" s="32">
        <f>IFERROR(__xludf.DUMMYFUNCTION("""COMPUTED_VALUE"""),40970.0)</f>
        <v>40970</v>
      </c>
      <c r="C91" s="33" t="str">
        <f>IFERROR(__xludf.DUMMYFUNCTION("""COMPUTED_VALUE"""),"Family")</f>
        <v>Family</v>
      </c>
      <c r="D91" s="33">
        <f>IFERROR(__xludf.DUMMYFUNCTION("""COMPUTED_VALUE"""),7.0E7)</f>
        <v>70000000</v>
      </c>
      <c r="E91" s="33">
        <f>IFERROR(__xludf.DUMMYFUNCTION("""COMPUTED_VALUE"""),3.488E8)</f>
        <v>348800000</v>
      </c>
    </row>
    <row r="92">
      <c r="A92" s="31" t="str">
        <f>IFERROR(__xludf.DUMMYFUNCTION("""COMPUTED_VALUE"""),"Dracula Untold")</f>
        <v>Dracula Untold</v>
      </c>
      <c r="B92" s="32">
        <f>IFERROR(__xludf.DUMMYFUNCTION("""COMPUTED_VALUE"""),41922.0)</f>
        <v>41922</v>
      </c>
      <c r="C92" s="33" t="str">
        <f>IFERROR(__xludf.DUMMYFUNCTION("""COMPUTED_VALUE"""),"Drama")</f>
        <v>Drama</v>
      </c>
      <c r="D92" s="33">
        <f>IFERROR(__xludf.DUMMYFUNCTION("""COMPUTED_VALUE"""),7.0E7)</f>
        <v>70000000</v>
      </c>
      <c r="E92" s="33">
        <f>IFERROR(__xludf.DUMMYFUNCTION("""COMPUTED_VALUE"""),2.171E8)</f>
        <v>217100000</v>
      </c>
    </row>
    <row r="93">
      <c r="A93" s="31" t="str">
        <f>IFERROR(__xludf.DUMMYFUNCTION("""COMPUTED_VALUE"""),"Draft Day")</f>
        <v>Draft Day</v>
      </c>
      <c r="B93" s="32">
        <f>IFERROR(__xludf.DUMMYFUNCTION("""COMPUTED_VALUE"""),41736.0)</f>
        <v>41736</v>
      </c>
      <c r="C93" s="33" t="str">
        <f>IFERROR(__xludf.DUMMYFUNCTION("""COMPUTED_VALUE"""),"Drama")</f>
        <v>Drama</v>
      </c>
      <c r="D93" s="33">
        <f>IFERROR(__xludf.DUMMYFUNCTION("""COMPUTED_VALUE"""),2.5E7)</f>
        <v>25000000</v>
      </c>
      <c r="E93" s="33">
        <f>IFERROR(__xludf.DUMMYFUNCTION("""COMPUTED_VALUE"""),2.95E7)</f>
        <v>29500000</v>
      </c>
    </row>
    <row r="94">
      <c r="A94" s="31" t="str">
        <f>IFERROR(__xludf.DUMMYFUNCTION("""COMPUTED_VALUE"""),"Dragon Blade")</f>
        <v>Dragon Blade</v>
      </c>
      <c r="B94" s="32">
        <f>IFERROR(__xludf.DUMMYFUNCTION("""COMPUTED_VALUE"""),42053.0)</f>
        <v>42053</v>
      </c>
      <c r="C94" s="33" t="str">
        <f>IFERROR(__xludf.DUMMYFUNCTION("""COMPUTED_VALUE"""),"Action")</f>
        <v>Action</v>
      </c>
      <c r="D94" s="33">
        <f>IFERROR(__xludf.DUMMYFUNCTION("""COMPUTED_VALUE"""),6.5E7)</f>
        <v>65000000</v>
      </c>
      <c r="E94" s="33">
        <f>IFERROR(__xludf.DUMMYFUNCTION("""COMPUTED_VALUE"""),1.2E8)</f>
        <v>120000000</v>
      </c>
    </row>
    <row r="95">
      <c r="A95" s="31" t="str">
        <f>IFERROR(__xludf.DUMMYFUNCTION("""COMPUTED_VALUE"""),"Dumb and Dumber To")</f>
        <v>Dumb and Dumber To</v>
      </c>
      <c r="B95" s="32">
        <f>IFERROR(__xludf.DUMMYFUNCTION("""COMPUTED_VALUE"""),41957.0)</f>
        <v>41957</v>
      </c>
      <c r="C95" s="33" t="str">
        <f>IFERROR(__xludf.DUMMYFUNCTION("""COMPUTED_VALUE"""),"Comedy")</f>
        <v>Comedy</v>
      </c>
      <c r="D95" s="33">
        <f>IFERROR(__xludf.DUMMYFUNCTION("""COMPUTED_VALUE"""),5.0E7)</f>
        <v>50000000</v>
      </c>
      <c r="E95" s="33">
        <f>IFERROR(__xludf.DUMMYFUNCTION("""COMPUTED_VALUE"""),1.698E8)</f>
        <v>169800000</v>
      </c>
    </row>
    <row r="96">
      <c r="A96" s="31" t="str">
        <f>IFERROR(__xludf.DUMMYFUNCTION("""COMPUTED_VALUE"""),"Earth to Echo")</f>
        <v>Earth to Echo</v>
      </c>
      <c r="B96" s="32">
        <f>IFERROR(__xludf.DUMMYFUNCTION("""COMPUTED_VALUE"""),41804.0)</f>
        <v>41804</v>
      </c>
      <c r="C96" s="33" t="str">
        <f>IFERROR(__xludf.DUMMYFUNCTION("""COMPUTED_VALUE"""),"Sci-Fi")</f>
        <v>Sci-Fi</v>
      </c>
      <c r="D96" s="33">
        <f>IFERROR(__xludf.DUMMYFUNCTION("""COMPUTED_VALUE"""),1.3E7)</f>
        <v>13000000</v>
      </c>
      <c r="E96" s="33">
        <f>IFERROR(__xludf.DUMMYFUNCTION("""COMPUTED_VALUE"""),4.53E7)</f>
        <v>45300000</v>
      </c>
    </row>
    <row r="97">
      <c r="A97" s="31" t="str">
        <f>IFERROR(__xludf.DUMMYFUNCTION("""COMPUTED_VALUE"""),"Eddie the Eagle")</f>
        <v>Eddie the Eagle</v>
      </c>
      <c r="B97" s="32">
        <f>IFERROR(__xludf.DUMMYFUNCTION("""COMPUTED_VALUE"""),42426.0)</f>
        <v>42426</v>
      </c>
      <c r="C97" s="33" t="str">
        <f>IFERROR(__xludf.DUMMYFUNCTION("""COMPUTED_VALUE"""),"Drama")</f>
        <v>Drama</v>
      </c>
      <c r="D97" s="33">
        <f>IFERROR(__xludf.DUMMYFUNCTION("""COMPUTED_VALUE"""),2.3E7)</f>
        <v>23000000</v>
      </c>
      <c r="E97" s="33">
        <f>IFERROR(__xludf.DUMMYFUNCTION("""COMPUTED_VALUE"""),4.62E7)</f>
        <v>46200000</v>
      </c>
    </row>
    <row r="98">
      <c r="A98" s="31" t="str">
        <f>IFERROR(__xludf.DUMMYFUNCTION("""COMPUTED_VALUE"""),"Edge of Tomorrow")</f>
        <v>Edge of Tomorrow</v>
      </c>
      <c r="B98" s="32">
        <f>IFERROR(__xludf.DUMMYFUNCTION("""COMPUTED_VALUE"""),41787.0)</f>
        <v>41787</v>
      </c>
      <c r="C98" s="33" t="str">
        <f>IFERROR(__xludf.DUMMYFUNCTION("""COMPUTED_VALUE"""),"Action")</f>
        <v>Action</v>
      </c>
      <c r="D98" s="33">
        <f>IFERROR(__xludf.DUMMYFUNCTION("""COMPUTED_VALUE"""),1.78E8)</f>
        <v>178000000</v>
      </c>
      <c r="E98" s="33">
        <f>IFERROR(__xludf.DUMMYFUNCTION("""COMPUTED_VALUE"""),3.705E8)</f>
        <v>370500000</v>
      </c>
    </row>
    <row r="99">
      <c r="A99" s="31" t="str">
        <f>IFERROR(__xludf.DUMMYFUNCTION("""COMPUTED_VALUE"""),"Elysium")</f>
        <v>Elysium</v>
      </c>
      <c r="B99" s="32">
        <f>IFERROR(__xludf.DUMMYFUNCTION("""COMPUTED_VALUE"""),41495.0)</f>
        <v>41495</v>
      </c>
      <c r="C99" s="33" t="str">
        <f>IFERROR(__xludf.DUMMYFUNCTION("""COMPUTED_VALUE"""),"Sci-Fi")</f>
        <v>Sci-Fi</v>
      </c>
      <c r="D99" s="33">
        <f>IFERROR(__xludf.DUMMYFUNCTION("""COMPUTED_VALUE"""),1.15E8)</f>
        <v>115000000</v>
      </c>
      <c r="E99" s="33">
        <f>IFERROR(__xludf.DUMMYFUNCTION("""COMPUTED_VALUE"""),2.861E8)</f>
        <v>286100000</v>
      </c>
    </row>
    <row r="100">
      <c r="A100" s="31" t="str">
        <f>IFERROR(__xludf.DUMMYFUNCTION("""COMPUTED_VALUE"""),"Embrace of the Serpent")</f>
        <v>Embrace of the Serpent</v>
      </c>
      <c r="B100" s="32">
        <f>IFERROR(__xludf.DUMMYFUNCTION("""COMPUTED_VALUE"""),42139.0)</f>
        <v>42139</v>
      </c>
      <c r="C100" s="33" t="str">
        <f>IFERROR(__xludf.DUMMYFUNCTION("""COMPUTED_VALUE"""),"Adventure")</f>
        <v>Adventure</v>
      </c>
      <c r="D100" s="33">
        <f>IFERROR(__xludf.DUMMYFUNCTION("""COMPUTED_VALUE"""),1400000.0)</f>
        <v>1400000</v>
      </c>
      <c r="E100" s="33">
        <f>IFERROR(__xludf.DUMMYFUNCTION("""COMPUTED_VALUE"""),2800000.0)</f>
        <v>2800000</v>
      </c>
    </row>
    <row r="101">
      <c r="A101" s="31" t="str">
        <f>IFERROR(__xludf.DUMMYFUNCTION("""COMPUTED_VALUE"""),"End of Watch")</f>
        <v>End of Watch</v>
      </c>
      <c r="B101" s="32">
        <f>IFERROR(__xludf.DUMMYFUNCTION("""COMPUTED_VALUE"""),41173.0)</f>
        <v>41173</v>
      </c>
      <c r="C101" s="33" t="str">
        <f>IFERROR(__xludf.DUMMYFUNCTION("""COMPUTED_VALUE"""),"Action")</f>
        <v>Action</v>
      </c>
      <c r="D101" s="33">
        <f>IFERROR(__xludf.DUMMYFUNCTION("""COMPUTED_VALUE"""),7000000.0)</f>
        <v>7000000</v>
      </c>
      <c r="E101" s="33">
        <f>IFERROR(__xludf.DUMMYFUNCTION("""COMPUTED_VALUE"""),4.81E7)</f>
        <v>48100000</v>
      </c>
    </row>
    <row r="102">
      <c r="A102" s="31" t="str">
        <f>IFERROR(__xludf.DUMMYFUNCTION("""COMPUTED_VALUE"""),"Enough Said")</f>
        <v>Enough Said</v>
      </c>
      <c r="B102" s="32">
        <f>IFERROR(__xludf.DUMMYFUNCTION("""COMPUTED_VALUE"""),41537.0)</f>
        <v>41537</v>
      </c>
      <c r="C102" s="33" t="str">
        <f>IFERROR(__xludf.DUMMYFUNCTION("""COMPUTED_VALUE"""),"Comedy")</f>
        <v>Comedy</v>
      </c>
      <c r="D102" s="33">
        <f>IFERROR(__xludf.DUMMYFUNCTION("""COMPUTED_VALUE"""),8000000.0)</f>
        <v>8000000</v>
      </c>
      <c r="E102" s="33">
        <f>IFERROR(__xludf.DUMMYFUNCTION("""COMPUTED_VALUE"""),2.53E7)</f>
        <v>25300000</v>
      </c>
    </row>
    <row r="103">
      <c r="A103" s="31" t="str">
        <f>IFERROR(__xludf.DUMMYFUNCTION("""COMPUTED_VALUE"""),"Entourage")</f>
        <v>Entourage</v>
      </c>
      <c r="B103" s="32">
        <f>IFERROR(__xludf.DUMMYFUNCTION("""COMPUTED_VALUE"""),42151.0)</f>
        <v>42151</v>
      </c>
      <c r="C103" s="33" t="str">
        <f>IFERROR(__xludf.DUMMYFUNCTION("""COMPUTED_VALUE"""),"Comedy")</f>
        <v>Comedy</v>
      </c>
      <c r="D103" s="33">
        <f>IFERROR(__xludf.DUMMYFUNCTION("""COMPUTED_VALUE"""),3.9E7)</f>
        <v>39000000</v>
      </c>
      <c r="E103" s="33">
        <f>IFERROR(__xludf.DUMMYFUNCTION("""COMPUTED_VALUE"""),4.93E7)</f>
        <v>49300000</v>
      </c>
    </row>
    <row r="104">
      <c r="A104" s="31" t="str">
        <f>IFERROR(__xludf.DUMMYFUNCTION("""COMPUTED_VALUE"""),"Epic")</f>
        <v>Epic</v>
      </c>
      <c r="B104" s="32">
        <f>IFERROR(__xludf.DUMMYFUNCTION("""COMPUTED_VALUE"""),41418.0)</f>
        <v>41418</v>
      </c>
      <c r="C104" s="33" t="str">
        <f>IFERROR(__xludf.DUMMYFUNCTION("""COMPUTED_VALUE"""),"Adventure")</f>
        <v>Adventure</v>
      </c>
      <c r="D104" s="33">
        <f>IFERROR(__xludf.DUMMYFUNCTION("""COMPUTED_VALUE"""),9.3E7)</f>
        <v>93000000</v>
      </c>
      <c r="E104" s="33">
        <f>IFERROR(__xludf.DUMMYFUNCTION("""COMPUTED_VALUE"""),2.6839999999999997E8)</f>
        <v>268400000</v>
      </c>
    </row>
    <row r="105">
      <c r="A105" s="31" t="str">
        <f>IFERROR(__xludf.DUMMYFUNCTION("""COMPUTED_VALUE"""),"Escape from Planet Earth")</f>
        <v>Escape from Planet Earth</v>
      </c>
      <c r="B105" s="32">
        <f>IFERROR(__xludf.DUMMYFUNCTION("""COMPUTED_VALUE"""),41320.0)</f>
        <v>41320</v>
      </c>
      <c r="C105" s="33" t="str">
        <f>IFERROR(__xludf.DUMMYFUNCTION("""COMPUTED_VALUE"""),"Comedy")</f>
        <v>Comedy</v>
      </c>
      <c r="D105" s="33">
        <f>IFERROR(__xludf.DUMMYFUNCTION("""COMPUTED_VALUE"""),4.0E7)</f>
        <v>40000000</v>
      </c>
      <c r="E105" s="33">
        <f>IFERROR(__xludf.DUMMYFUNCTION("""COMPUTED_VALUE"""),7.46E7)</f>
        <v>74600000</v>
      </c>
    </row>
    <row r="106">
      <c r="A106" s="31" t="str">
        <f>IFERROR(__xludf.DUMMYFUNCTION("""COMPUTED_VALUE"""),"Evil Dead")</f>
        <v>Evil Dead</v>
      </c>
      <c r="B106" s="32">
        <f>IFERROR(__xludf.DUMMYFUNCTION("""COMPUTED_VALUE"""),41369.0)</f>
        <v>41369</v>
      </c>
      <c r="C106" s="33" t="str">
        <f>IFERROR(__xludf.DUMMYFUNCTION("""COMPUTED_VALUE"""),"Horror")</f>
        <v>Horror</v>
      </c>
      <c r="D106" s="33">
        <f>IFERROR(__xludf.DUMMYFUNCTION("""COMPUTED_VALUE"""),1.7E7)</f>
        <v>17000000</v>
      </c>
      <c r="E106" s="33">
        <f>IFERROR(__xludf.DUMMYFUNCTION("""COMPUTED_VALUE"""),9.75E7)</f>
        <v>97500000</v>
      </c>
    </row>
    <row r="107">
      <c r="A107" s="31" t="str">
        <f>IFERROR(__xludf.DUMMYFUNCTION("""COMPUTED_VALUE"""),"Ex Machina")</f>
        <v>Ex Machina</v>
      </c>
      <c r="B107" s="32">
        <f>IFERROR(__xludf.DUMMYFUNCTION("""COMPUTED_VALUE"""),42025.0)</f>
        <v>42025</v>
      </c>
      <c r="C107" s="33" t="str">
        <f>IFERROR(__xludf.DUMMYFUNCTION("""COMPUTED_VALUE"""),"Sci-Fi")</f>
        <v>Sci-Fi</v>
      </c>
      <c r="D107" s="33">
        <f>IFERROR(__xludf.DUMMYFUNCTION("""COMPUTED_VALUE"""),1.5E7)</f>
        <v>15000000</v>
      </c>
      <c r="E107" s="33">
        <f>IFERROR(__xludf.DUMMYFUNCTION("""COMPUTED_VALUE"""),3.69E7)</f>
        <v>36900000</v>
      </c>
    </row>
    <row r="108">
      <c r="A108" s="31" t="str">
        <f>IFERROR(__xludf.DUMMYFUNCTION("""COMPUTED_VALUE"""),"Eye in the Sky")</f>
        <v>Eye in the Sky</v>
      </c>
      <c r="B108" s="32">
        <f>IFERROR(__xludf.DUMMYFUNCTION("""COMPUTED_VALUE"""),42258.0)</f>
        <v>42258</v>
      </c>
      <c r="C108" s="33" t="str">
        <f>IFERROR(__xludf.DUMMYFUNCTION("""COMPUTED_VALUE"""),"Thriller")</f>
        <v>Thriller</v>
      </c>
      <c r="D108" s="33">
        <f>IFERROR(__xludf.DUMMYFUNCTION("""COMPUTED_VALUE"""),1.3E7)</f>
        <v>13000000</v>
      </c>
      <c r="E108" s="33">
        <f>IFERROR(__xludf.DUMMYFUNCTION("""COMPUTED_VALUE"""),3.2799999999999996E7)</f>
        <v>32800000</v>
      </c>
    </row>
    <row r="109">
      <c r="A109" s="31" t="str">
        <f>IFERROR(__xludf.DUMMYFUNCTION("""COMPUTED_VALUE"""),"Fantastic Four")</f>
        <v>Fantastic Four</v>
      </c>
      <c r="B109" s="32">
        <f>IFERROR(__xludf.DUMMYFUNCTION("""COMPUTED_VALUE"""),42220.0)</f>
        <v>42220</v>
      </c>
      <c r="C109" s="33" t="str">
        <f>IFERROR(__xludf.DUMMYFUNCTION("""COMPUTED_VALUE"""),"Action")</f>
        <v>Action</v>
      </c>
      <c r="D109" s="33">
        <f>IFERROR(__xludf.DUMMYFUNCTION("""COMPUTED_VALUE"""),1.2E8)</f>
        <v>120000000</v>
      </c>
      <c r="E109" s="33">
        <f>IFERROR(__xludf.DUMMYFUNCTION("""COMPUTED_VALUE"""),1.68E8)</f>
        <v>168000000</v>
      </c>
    </row>
    <row r="110">
      <c r="A110" s="31" t="str">
        <f>IFERROR(__xludf.DUMMYFUNCTION("""COMPUTED_VALUE"""),"Fast &amp; Furious 6")</f>
        <v>Fast &amp; Furious 6</v>
      </c>
      <c r="B110" s="32">
        <f>IFERROR(__xludf.DUMMYFUNCTION("""COMPUTED_VALUE"""),41411.0)</f>
        <v>41411</v>
      </c>
      <c r="C110" s="33" t="str">
        <f>IFERROR(__xludf.DUMMYFUNCTION("""COMPUTED_VALUE"""),"Action")</f>
        <v>Action</v>
      </c>
      <c r="D110" s="33">
        <f>IFERROR(__xludf.DUMMYFUNCTION("""COMPUTED_VALUE"""),1.6E8)</f>
        <v>160000000</v>
      </c>
      <c r="E110" s="33">
        <f>IFERROR(__xludf.DUMMYFUNCTION("""COMPUTED_VALUE"""),7.887E8)</f>
        <v>788700000</v>
      </c>
    </row>
    <row r="111">
      <c r="A111" s="31" t="str">
        <f>IFERROR(__xludf.DUMMYFUNCTION("""COMPUTED_VALUE"""),"Flight")</f>
        <v>Flight</v>
      </c>
      <c r="B111" s="32">
        <f>IFERROR(__xludf.DUMMYFUNCTION("""COMPUTED_VALUE"""),41215.0)</f>
        <v>41215</v>
      </c>
      <c r="C111" s="33" t="str">
        <f>IFERROR(__xludf.DUMMYFUNCTION("""COMPUTED_VALUE"""),"Drama")</f>
        <v>Drama</v>
      </c>
      <c r="D111" s="33">
        <f>IFERROR(__xludf.DUMMYFUNCTION("""COMPUTED_VALUE"""),3.1E7)</f>
        <v>31000000</v>
      </c>
      <c r="E111" s="33">
        <f>IFERROR(__xludf.DUMMYFUNCTION("""COMPUTED_VALUE"""),1.618E8)</f>
        <v>161800000</v>
      </c>
    </row>
    <row r="112">
      <c r="A112" s="31" t="str">
        <f>IFERROR(__xludf.DUMMYFUNCTION("""COMPUTED_VALUE"""),"Florence Foster Jenkins")</f>
        <v>Florence Foster Jenkins</v>
      </c>
      <c r="B112" s="32">
        <f>IFERROR(__xludf.DUMMYFUNCTION("""COMPUTED_VALUE"""),42487.0)</f>
        <v>42487</v>
      </c>
      <c r="C112" s="33" t="str">
        <f>IFERROR(__xludf.DUMMYFUNCTION("""COMPUTED_VALUE"""),"Biography")</f>
        <v>Biography</v>
      </c>
      <c r="D112" s="33">
        <f>IFERROR(__xludf.DUMMYFUNCTION("""COMPUTED_VALUE"""),1.9E7)</f>
        <v>19000000</v>
      </c>
      <c r="E112" s="33">
        <f>IFERROR(__xludf.DUMMYFUNCTION("""COMPUTED_VALUE"""),3.17E7)</f>
        <v>31700000</v>
      </c>
    </row>
    <row r="113">
      <c r="A113" s="31" t="str">
        <f>IFERROR(__xludf.DUMMYFUNCTION("""COMPUTED_VALUE"""),"Frances Ha")</f>
        <v>Frances Ha</v>
      </c>
      <c r="B113" s="32">
        <f>IFERROR(__xludf.DUMMYFUNCTION("""COMPUTED_VALUE"""),41411.0)</f>
        <v>41411</v>
      </c>
      <c r="C113" s="33" t="str">
        <f>IFERROR(__xludf.DUMMYFUNCTION("""COMPUTED_VALUE"""),"Drama")</f>
        <v>Drama</v>
      </c>
      <c r="D113" s="33">
        <f>IFERROR(__xludf.DUMMYFUNCTION("""COMPUTED_VALUE"""),3000000.0)</f>
        <v>3000000</v>
      </c>
      <c r="E113" s="33">
        <f>IFERROR(__xludf.DUMMYFUNCTION("""COMPUTED_VALUE"""),1.13E7)</f>
        <v>11300000</v>
      </c>
    </row>
    <row r="114">
      <c r="A114" s="31" t="str">
        <f>IFERROR(__xludf.DUMMYFUNCTION("""COMPUTED_VALUE"""),"Free State of Jones")</f>
        <v>Free State of Jones</v>
      </c>
      <c r="B114" s="32">
        <f>IFERROR(__xludf.DUMMYFUNCTION("""COMPUTED_VALUE"""),42537.0)</f>
        <v>42537</v>
      </c>
      <c r="C114" s="33" t="str">
        <f>IFERROR(__xludf.DUMMYFUNCTION("""COMPUTED_VALUE"""),"Drama")</f>
        <v>Drama</v>
      </c>
      <c r="D114" s="33">
        <f>IFERROR(__xludf.DUMMYFUNCTION("""COMPUTED_VALUE"""),5.0E7)</f>
        <v>50000000</v>
      </c>
      <c r="E114" s="33">
        <f>IFERROR(__xludf.DUMMYFUNCTION("""COMPUTED_VALUE"""),2.12E7)</f>
        <v>21200000</v>
      </c>
    </row>
    <row r="115">
      <c r="A115" s="31" t="str">
        <f>IFERROR(__xludf.DUMMYFUNCTION("""COMPUTED_VALUE"""),"Friends with Kids")</f>
        <v>Friends with Kids</v>
      </c>
      <c r="B115" s="32">
        <f>IFERROR(__xludf.DUMMYFUNCTION("""COMPUTED_VALUE"""),40977.0)</f>
        <v>40977</v>
      </c>
      <c r="C115" s="33" t="str">
        <f>IFERROR(__xludf.DUMMYFUNCTION("""COMPUTED_VALUE"""),"Comedy")</f>
        <v>Comedy</v>
      </c>
      <c r="D115" s="33">
        <f>IFERROR(__xludf.DUMMYFUNCTION("""COMPUTED_VALUE"""),1.0E7)</f>
        <v>10000000</v>
      </c>
      <c r="E115" s="33">
        <f>IFERROR(__xludf.DUMMYFUNCTION("""COMPUTED_VALUE"""),1.22E7)</f>
        <v>12200000</v>
      </c>
    </row>
    <row r="116">
      <c r="A116" s="31" t="str">
        <f>IFERROR(__xludf.DUMMYFUNCTION("""COMPUTED_VALUE"""),"Fun Size")</f>
        <v>Fun Size</v>
      </c>
      <c r="B116" s="32">
        <f>IFERROR(__xludf.DUMMYFUNCTION("""COMPUTED_VALUE"""),41208.0)</f>
        <v>41208</v>
      </c>
      <c r="C116" s="33" t="str">
        <f>IFERROR(__xludf.DUMMYFUNCTION("""COMPUTED_VALUE"""),"Comedy")</f>
        <v>Comedy</v>
      </c>
      <c r="D116" s="33">
        <f>IFERROR(__xludf.DUMMYFUNCTION("""COMPUTED_VALUE"""),1.4E7)</f>
        <v>14000000</v>
      </c>
      <c r="E116" s="33">
        <f>IFERROR(__xludf.DUMMYFUNCTION("""COMPUTED_VALUE"""),1.14E7)</f>
        <v>11400000</v>
      </c>
    </row>
    <row r="117">
      <c r="A117" s="31" t="str">
        <f>IFERROR(__xludf.DUMMYFUNCTION("""COMPUTED_VALUE"""),"Fury")</f>
        <v>Fury</v>
      </c>
      <c r="B117" s="32">
        <f>IFERROR(__xludf.DUMMYFUNCTION("""COMPUTED_VALUE"""),41927.0)</f>
        <v>41927</v>
      </c>
      <c r="C117" s="33" t="str">
        <f>IFERROR(__xludf.DUMMYFUNCTION("""COMPUTED_VALUE"""),"Action")</f>
        <v>Action</v>
      </c>
      <c r="D117" s="33">
        <f>IFERROR(__xludf.DUMMYFUNCTION("""COMPUTED_VALUE"""),6.8E7)</f>
        <v>68000000</v>
      </c>
      <c r="E117" s="33">
        <f>IFERROR(__xludf.DUMMYFUNCTION("""COMPUTED_VALUE"""),2.118E8)</f>
        <v>211800000</v>
      </c>
    </row>
    <row r="118">
      <c r="A118" s="31" t="str">
        <f>IFERROR(__xludf.DUMMYFUNCTION("""COMPUTED_VALUE"""),"G.I. Joe: Retaliation")</f>
        <v>G.I. Joe: Retaliation</v>
      </c>
      <c r="B118" s="32">
        <f>IFERROR(__xludf.DUMMYFUNCTION("""COMPUTED_VALUE"""),41360.0)</f>
        <v>41360</v>
      </c>
      <c r="C118" s="33" t="str">
        <f>IFERROR(__xludf.DUMMYFUNCTION("""COMPUTED_VALUE"""),"Action")</f>
        <v>Action</v>
      </c>
      <c r="D118" s="33">
        <f>IFERROR(__xludf.DUMMYFUNCTION("""COMPUTED_VALUE"""),1.3E8)</f>
        <v>130000000</v>
      </c>
      <c r="E118" s="33">
        <f>IFERROR(__xludf.DUMMYFUNCTION("""COMPUTED_VALUE"""),3.757E8)</f>
        <v>375700000</v>
      </c>
    </row>
    <row r="119">
      <c r="A119" s="31" t="str">
        <f>IFERROR(__xludf.DUMMYFUNCTION("""COMPUTED_VALUE"""),"Gangster Squad")</f>
        <v>Gangster Squad</v>
      </c>
      <c r="B119" s="32">
        <f>IFERROR(__xludf.DUMMYFUNCTION("""COMPUTED_VALUE"""),41285.0)</f>
        <v>41285</v>
      </c>
      <c r="C119" s="33" t="str">
        <f>IFERROR(__xludf.DUMMYFUNCTION("""COMPUTED_VALUE"""),"Action")</f>
        <v>Action</v>
      </c>
      <c r="D119" s="33">
        <f>IFERROR(__xludf.DUMMYFUNCTION("""COMPUTED_VALUE"""),7.5E7)</f>
        <v>75000000</v>
      </c>
      <c r="E119" s="33">
        <f>IFERROR(__xludf.DUMMYFUNCTION("""COMPUTED_VALUE"""),1.052E8)</f>
        <v>105200000</v>
      </c>
    </row>
    <row r="120">
      <c r="A120" s="31" t="str">
        <f>IFERROR(__xludf.DUMMYFUNCTION("""COMPUTED_VALUE"""),"Get Hard")</f>
        <v>Get Hard</v>
      </c>
      <c r="B120" s="32">
        <f>IFERROR(__xludf.DUMMYFUNCTION("""COMPUTED_VALUE"""),42090.0)</f>
        <v>42090</v>
      </c>
      <c r="C120" s="33" t="str">
        <f>IFERROR(__xludf.DUMMYFUNCTION("""COMPUTED_VALUE"""),"Comedy")</f>
        <v>Comedy</v>
      </c>
      <c r="D120" s="33">
        <f>IFERROR(__xludf.DUMMYFUNCTION("""COMPUTED_VALUE"""),4.0E7)</f>
        <v>40000000</v>
      </c>
      <c r="E120" s="33">
        <f>IFERROR(__xludf.DUMMYFUNCTION("""COMPUTED_VALUE"""),1.118E8)</f>
        <v>111800000</v>
      </c>
    </row>
    <row r="121">
      <c r="A121" s="31" t="str">
        <f>IFERROR(__xludf.DUMMYFUNCTION("""COMPUTED_VALUE"""),"Get on Up")</f>
        <v>Get on Up</v>
      </c>
      <c r="B121" s="32">
        <f>IFERROR(__xludf.DUMMYFUNCTION("""COMPUTED_VALUE"""),41852.0)</f>
        <v>41852</v>
      </c>
      <c r="C121" s="33" t="str">
        <f>IFERROR(__xludf.DUMMYFUNCTION("""COMPUTED_VALUE"""),"Drama")</f>
        <v>Drama</v>
      </c>
      <c r="D121" s="33">
        <f>IFERROR(__xludf.DUMMYFUNCTION("""COMPUTED_VALUE"""),3.0E7)</f>
        <v>30000000</v>
      </c>
      <c r="E121" s="33">
        <f>IFERROR(__xludf.DUMMYFUNCTION("""COMPUTED_VALUE"""),3.34E7)</f>
        <v>33400000</v>
      </c>
    </row>
    <row r="122">
      <c r="A122" s="31" t="str">
        <f>IFERROR(__xludf.DUMMYFUNCTION("""COMPUTED_VALUE"""),"Getaway")</f>
        <v>Getaway</v>
      </c>
      <c r="B122" s="32">
        <f>IFERROR(__xludf.DUMMYFUNCTION("""COMPUTED_VALUE"""),41516.0)</f>
        <v>41516</v>
      </c>
      <c r="C122" s="33" t="str">
        <f>IFERROR(__xludf.DUMMYFUNCTION("""COMPUTED_VALUE"""),"Action")</f>
        <v>Action</v>
      </c>
      <c r="D122" s="33">
        <f>IFERROR(__xludf.DUMMYFUNCTION("""COMPUTED_VALUE"""),1.8E7)</f>
        <v>18000000</v>
      </c>
      <c r="E122" s="33">
        <f>IFERROR(__xludf.DUMMYFUNCTION("""COMPUTED_VALUE"""),1.18E7)</f>
        <v>11800000</v>
      </c>
    </row>
    <row r="123">
      <c r="A123" s="31" t="str">
        <f>IFERROR(__xludf.DUMMYFUNCTION("""COMPUTED_VALUE"""),"Ghost Rider: Spirit of Vengeance")</f>
        <v>Ghost Rider: Spirit of Vengeance</v>
      </c>
      <c r="B123" s="32">
        <f>IFERROR(__xludf.DUMMYFUNCTION("""COMPUTED_VALUE"""),40956.0)</f>
        <v>40956</v>
      </c>
      <c r="C123" s="33" t="str">
        <f>IFERROR(__xludf.DUMMYFUNCTION("""COMPUTED_VALUE"""),"Action")</f>
        <v>Action</v>
      </c>
      <c r="D123" s="33">
        <f>IFERROR(__xludf.DUMMYFUNCTION("""COMPUTED_VALUE"""),5.7E7)</f>
        <v>57000000</v>
      </c>
      <c r="E123" s="33">
        <f>IFERROR(__xludf.DUMMYFUNCTION("""COMPUTED_VALUE"""),1.326E8)</f>
        <v>132600000</v>
      </c>
    </row>
    <row r="124">
      <c r="A124" s="31" t="str">
        <f>IFERROR(__xludf.DUMMYFUNCTION("""COMPUTED_VALUE"""),"Ghostbusters")</f>
        <v>Ghostbusters</v>
      </c>
      <c r="B124" s="32">
        <f>IFERROR(__xludf.DUMMYFUNCTION("""COMPUTED_VALUE"""),42566.0)</f>
        <v>42566</v>
      </c>
      <c r="C124" s="33" t="str">
        <f>IFERROR(__xludf.DUMMYFUNCTION("""COMPUTED_VALUE"""),"Comedy")</f>
        <v>Comedy</v>
      </c>
      <c r="D124" s="33">
        <f>IFERROR(__xludf.DUMMYFUNCTION("""COMPUTED_VALUE"""),1.44E8)</f>
        <v>144000000</v>
      </c>
      <c r="E124" s="33">
        <f>IFERROR(__xludf.DUMMYFUNCTION("""COMPUTED_VALUE"""),2.175E8)</f>
        <v>217500000</v>
      </c>
    </row>
    <row r="125">
      <c r="A125" s="31" t="str">
        <f>IFERROR(__xludf.DUMMYFUNCTION("""COMPUTED_VALUE"""),"God's Not Dead")</f>
        <v>God's Not Dead</v>
      </c>
      <c r="B125" s="32">
        <f>IFERROR(__xludf.DUMMYFUNCTION("""COMPUTED_VALUE"""),41719.0)</f>
        <v>41719</v>
      </c>
      <c r="C125" s="33" t="str">
        <f>IFERROR(__xludf.DUMMYFUNCTION("""COMPUTED_VALUE"""),"Religious")</f>
        <v>Religious</v>
      </c>
      <c r="D125" s="33">
        <f>IFERROR(__xludf.DUMMYFUNCTION("""COMPUTED_VALUE"""),2000000.0)</f>
        <v>2000000</v>
      </c>
      <c r="E125" s="33">
        <f>IFERROR(__xludf.DUMMYFUNCTION("""COMPUTED_VALUE"""),6.26E7)</f>
        <v>62600000</v>
      </c>
    </row>
    <row r="126">
      <c r="A126" s="31" t="str">
        <f>IFERROR(__xludf.DUMMYFUNCTION("""COMPUTED_VALUE"""),"God's Not Dead 2")</f>
        <v>God's Not Dead 2</v>
      </c>
      <c r="B126" s="32">
        <f>IFERROR(__xludf.DUMMYFUNCTION("""COMPUTED_VALUE"""),42461.0)</f>
        <v>42461</v>
      </c>
      <c r="C126" s="33" t="str">
        <f>IFERROR(__xludf.DUMMYFUNCTION("""COMPUTED_VALUE"""),"Religious")</f>
        <v>Religious</v>
      </c>
      <c r="D126" s="33">
        <f>IFERROR(__xludf.DUMMYFUNCTION("""COMPUTED_VALUE"""),5000000.0)</f>
        <v>5000000</v>
      </c>
      <c r="E126" s="33">
        <f>IFERROR(__xludf.DUMMYFUNCTION("""COMPUTED_VALUE"""),2.35E7)</f>
        <v>23500000</v>
      </c>
    </row>
    <row r="127">
      <c r="A127" s="31" t="str">
        <f>IFERROR(__xludf.DUMMYFUNCTION("""COMPUTED_VALUE"""),"Gods of Egypt")</f>
        <v>Gods of Egypt</v>
      </c>
      <c r="B127" s="32">
        <f>IFERROR(__xludf.DUMMYFUNCTION("""COMPUTED_VALUE"""),42425.0)</f>
        <v>42425</v>
      </c>
      <c r="C127" s="33" t="str">
        <f>IFERROR(__xludf.DUMMYFUNCTION("""COMPUTED_VALUE"""),"Action")</f>
        <v>Action</v>
      </c>
      <c r="D127" s="33">
        <f>IFERROR(__xludf.DUMMYFUNCTION("""COMPUTED_VALUE"""),1.4E8)</f>
        <v>140000000</v>
      </c>
      <c r="E127" s="33">
        <f>IFERROR(__xludf.DUMMYFUNCTION("""COMPUTED_VALUE"""),1.457E8)</f>
        <v>145700000</v>
      </c>
    </row>
    <row r="128">
      <c r="A128" s="31" t="str">
        <f>IFERROR(__xludf.DUMMYFUNCTION("""COMPUTED_VALUE"""),"Godzilla")</f>
        <v>Godzilla</v>
      </c>
      <c r="B128" s="32">
        <f>IFERROR(__xludf.DUMMYFUNCTION("""COMPUTED_VALUE"""),41767.0)</f>
        <v>41767</v>
      </c>
      <c r="C128" s="33" t="str">
        <f>IFERROR(__xludf.DUMMYFUNCTION("""COMPUTED_VALUE"""),"Action")</f>
        <v>Action</v>
      </c>
      <c r="D128" s="33">
        <f>IFERROR(__xludf.DUMMYFUNCTION("""COMPUTED_VALUE"""),1.6E8)</f>
        <v>160000000</v>
      </c>
      <c r="E128" s="33">
        <f>IFERROR(__xludf.DUMMYFUNCTION("""COMPUTED_VALUE"""),5.29E8)</f>
        <v>529000000</v>
      </c>
    </row>
    <row r="129">
      <c r="A129" s="31" t="str">
        <f>IFERROR(__xludf.DUMMYFUNCTION("""COMPUTED_VALUE"""),"Gone Girl")</f>
        <v>Gone Girl</v>
      </c>
      <c r="B129" s="32">
        <f>IFERROR(__xludf.DUMMYFUNCTION("""COMPUTED_VALUE"""),41908.0)</f>
        <v>41908</v>
      </c>
      <c r="C129" s="33" t="str">
        <f>IFERROR(__xludf.DUMMYFUNCTION("""COMPUTED_VALUE"""),"Mystery")</f>
        <v>Mystery</v>
      </c>
      <c r="D129" s="33">
        <f>IFERROR(__xludf.DUMMYFUNCTION("""COMPUTED_VALUE"""),6.1E7)</f>
        <v>61000000</v>
      </c>
      <c r="E129" s="33">
        <f>IFERROR(__xludf.DUMMYFUNCTION("""COMPUTED_VALUE"""),3.693E8)</f>
        <v>369300000</v>
      </c>
    </row>
    <row r="130">
      <c r="A130" s="31" t="str">
        <f>IFERROR(__xludf.DUMMYFUNCTION("""COMPUTED_VALUE"""),"Good Deeds")</f>
        <v>Good Deeds</v>
      </c>
      <c r="B130" s="32">
        <f>IFERROR(__xludf.DUMMYFUNCTION("""COMPUTED_VALUE"""),40963.0)</f>
        <v>40963</v>
      </c>
      <c r="C130" s="33" t="str">
        <f>IFERROR(__xludf.DUMMYFUNCTION("""COMPUTED_VALUE"""),"Romance")</f>
        <v>Romance</v>
      </c>
      <c r="D130" s="33">
        <f>IFERROR(__xludf.DUMMYFUNCTION("""COMPUTED_VALUE"""),1.4E7)</f>
        <v>14000000</v>
      </c>
      <c r="E130" s="33">
        <f>IFERROR(__xludf.DUMMYFUNCTION("""COMPUTED_VALUE"""),3.56E7)</f>
        <v>35600000</v>
      </c>
    </row>
    <row r="131">
      <c r="A131" s="31" t="str">
        <f>IFERROR(__xludf.DUMMYFUNCTION("""COMPUTED_VALUE"""),"Goosebumps")</f>
        <v>Goosebumps</v>
      </c>
      <c r="B131" s="32">
        <f>IFERROR(__xludf.DUMMYFUNCTION("""COMPUTED_VALUE"""),42282.0)</f>
        <v>42282</v>
      </c>
      <c r="C131" s="33" t="str">
        <f>IFERROR(__xludf.DUMMYFUNCTION("""COMPUTED_VALUE"""),"Action")</f>
        <v>Action</v>
      </c>
      <c r="D131" s="33">
        <f>IFERROR(__xludf.DUMMYFUNCTION("""COMPUTED_VALUE"""),8.4E7)</f>
        <v>84000000</v>
      </c>
      <c r="E131" s="33">
        <f>IFERROR(__xludf.DUMMYFUNCTION("""COMPUTED_VALUE"""),1.502E8)</f>
        <v>150200000</v>
      </c>
    </row>
    <row r="132">
      <c r="A132" s="31" t="str">
        <f>IFERROR(__xludf.DUMMYFUNCTION("""COMPUTED_VALUE"""),"Grown Ups 2")</f>
        <v>Grown Ups 2</v>
      </c>
      <c r="B132" s="32">
        <f>IFERROR(__xludf.DUMMYFUNCTION("""COMPUTED_VALUE"""),41467.0)</f>
        <v>41467</v>
      </c>
      <c r="C132" s="33" t="str">
        <f>IFERROR(__xludf.DUMMYFUNCTION("""COMPUTED_VALUE"""),"Comedy")</f>
        <v>Comedy</v>
      </c>
      <c r="D132" s="33">
        <f>IFERROR(__xludf.DUMMYFUNCTION("""COMPUTED_VALUE"""),8.0E7)</f>
        <v>80000000</v>
      </c>
      <c r="E132" s="33">
        <f>IFERROR(__xludf.DUMMYFUNCTION("""COMPUTED_VALUE"""),2.47E8)</f>
        <v>247000000</v>
      </c>
    </row>
    <row r="133">
      <c r="A133" s="31" t="str">
        <f>IFERROR(__xludf.DUMMYFUNCTION("""COMPUTED_VALUE"""),"Hail, Caesar!")</f>
        <v>Hail, Caesar!</v>
      </c>
      <c r="B133" s="32">
        <f>IFERROR(__xludf.DUMMYFUNCTION("""COMPUTED_VALUE"""),42405.0)</f>
        <v>42405</v>
      </c>
      <c r="C133" s="33" t="str">
        <f>IFERROR(__xludf.DUMMYFUNCTION("""COMPUTED_VALUE"""),"Comedy")</f>
        <v>Comedy</v>
      </c>
      <c r="D133" s="33">
        <f>IFERROR(__xludf.DUMMYFUNCTION("""COMPUTED_VALUE"""),2.2E7)</f>
        <v>22000000</v>
      </c>
      <c r="E133" s="33">
        <f>IFERROR(__xludf.DUMMYFUNCTION("""COMPUTED_VALUE"""),2.2E7)</f>
        <v>22000000</v>
      </c>
    </row>
    <row r="134">
      <c r="A134" s="31" t="str">
        <f>IFERROR(__xludf.DUMMYFUNCTION("""COMPUTED_VALUE"""),"Hands of Stone")</f>
        <v>Hands of Stone</v>
      </c>
      <c r="B134" s="32">
        <f>IFERROR(__xludf.DUMMYFUNCTION("""COMPUTED_VALUE"""),42608.0)</f>
        <v>42608</v>
      </c>
      <c r="C134" s="33" t="str">
        <f>IFERROR(__xludf.DUMMYFUNCTION("""COMPUTED_VALUE"""),"Biography")</f>
        <v>Biography</v>
      </c>
      <c r="D134" s="33">
        <f>IFERROR(__xludf.DUMMYFUNCTION("""COMPUTED_VALUE"""),2.0E7)</f>
        <v>20000000</v>
      </c>
      <c r="E134" s="33">
        <f>IFERROR(__xludf.DUMMYFUNCTION("""COMPUTED_VALUE"""),1700000.0)</f>
        <v>1700000</v>
      </c>
    </row>
    <row r="135">
      <c r="A135" s="31" t="str">
        <f>IFERROR(__xludf.DUMMYFUNCTION("""COMPUTED_VALUE"""),"Hansel and Gretel: Witch Hunters")</f>
        <v>Hansel and Gretel: Witch Hunters</v>
      </c>
      <c r="B135" s="32">
        <f>IFERROR(__xludf.DUMMYFUNCTION("""COMPUTED_VALUE"""),41291.0)</f>
        <v>41291</v>
      </c>
      <c r="C135" s="33" t="str">
        <f>IFERROR(__xludf.DUMMYFUNCTION("""COMPUTED_VALUE"""),"Action")</f>
        <v>Action</v>
      </c>
      <c r="D135" s="33">
        <f>IFERROR(__xludf.DUMMYFUNCTION("""COMPUTED_VALUE"""),5.0E7)</f>
        <v>50000000</v>
      </c>
      <c r="E135" s="33">
        <f>IFERROR(__xludf.DUMMYFUNCTION("""COMPUTED_VALUE"""),2.263E8)</f>
        <v>226300000</v>
      </c>
    </row>
    <row r="136">
      <c r="A136" s="31" t="str">
        <f>IFERROR(__xludf.DUMMYFUNCTION("""COMPUTED_VALUE"""),"Heaven Is for Real")</f>
        <v>Heaven Is for Real</v>
      </c>
      <c r="B136" s="32">
        <f>IFERROR(__xludf.DUMMYFUNCTION("""COMPUTED_VALUE"""),41745.0)</f>
        <v>41745</v>
      </c>
      <c r="C136" s="33" t="str">
        <f>IFERROR(__xludf.DUMMYFUNCTION("""COMPUTED_VALUE"""),"Religious")</f>
        <v>Religious</v>
      </c>
      <c r="D136" s="33">
        <f>IFERROR(__xludf.DUMMYFUNCTION("""COMPUTED_VALUE"""),1.2E7)</f>
        <v>12000000</v>
      </c>
      <c r="E136" s="33">
        <f>IFERROR(__xludf.DUMMYFUNCTION("""COMPUTED_VALUE"""),1.013E8)</f>
        <v>101300000</v>
      </c>
    </row>
    <row r="137">
      <c r="A137" s="31" t="str">
        <f>IFERROR(__xludf.DUMMYFUNCTION("""COMPUTED_VALUE"""),"Here Comes the Boom")</f>
        <v>Here Comes the Boom</v>
      </c>
      <c r="B137" s="32">
        <f>IFERROR(__xludf.DUMMYFUNCTION("""COMPUTED_VALUE"""),41194.0)</f>
        <v>41194</v>
      </c>
      <c r="C137" s="33" t="str">
        <f>IFERROR(__xludf.DUMMYFUNCTION("""COMPUTED_VALUE"""),"Comedy")</f>
        <v>Comedy</v>
      </c>
      <c r="D137" s="33">
        <f>IFERROR(__xludf.DUMMYFUNCTION("""COMPUTED_VALUE"""),4.2E7)</f>
        <v>42000000</v>
      </c>
      <c r="E137" s="33">
        <f>IFERROR(__xludf.DUMMYFUNCTION("""COMPUTED_VALUE"""),7.31E7)</f>
        <v>73100000</v>
      </c>
    </row>
    <row r="138">
      <c r="A138" s="31" t="str">
        <f>IFERROR(__xludf.DUMMYFUNCTION("""COMPUTED_VALUE"""),"Hit and Run")</f>
        <v>Hit and Run</v>
      </c>
      <c r="B138" s="32">
        <f>IFERROR(__xludf.DUMMYFUNCTION("""COMPUTED_VALUE"""),41143.0)</f>
        <v>41143</v>
      </c>
      <c r="C138" s="33" t="str">
        <f>IFERROR(__xludf.DUMMYFUNCTION("""COMPUTED_VALUE"""),"Action")</f>
        <v>Action</v>
      </c>
      <c r="D138" s="33">
        <f>IFERROR(__xludf.DUMMYFUNCTION("""COMPUTED_VALUE"""),2000000.0)</f>
        <v>2000000</v>
      </c>
      <c r="E138" s="33">
        <f>IFERROR(__xludf.DUMMYFUNCTION("""COMPUTED_VALUE"""),1.45E7)</f>
        <v>14500000</v>
      </c>
    </row>
    <row r="139">
      <c r="A139" s="31" t="str">
        <f>IFERROR(__xludf.DUMMYFUNCTION("""COMPUTED_VALUE"""),"Hitman: Agent 47")</f>
        <v>Hitman: Agent 47</v>
      </c>
      <c r="B139" s="32">
        <f>IFERROR(__xludf.DUMMYFUNCTION("""COMPUTED_VALUE"""),42237.0)</f>
        <v>42237</v>
      </c>
      <c r="C139" s="33" t="str">
        <f>IFERROR(__xludf.DUMMYFUNCTION("""COMPUTED_VALUE"""),"Action")</f>
        <v>Action</v>
      </c>
      <c r="D139" s="33">
        <f>IFERROR(__xludf.DUMMYFUNCTION("""COMPUTED_VALUE"""),3.5E7)</f>
        <v>35000000</v>
      </c>
      <c r="E139" s="33">
        <f>IFERROR(__xludf.DUMMYFUNCTION("""COMPUTED_VALUE"""),8.23E7)</f>
        <v>82300000</v>
      </c>
    </row>
    <row r="140">
      <c r="A140" s="31" t="str">
        <f>IFERROR(__xludf.DUMMYFUNCTION("""COMPUTED_VALUE"""),"Home")</f>
        <v>Home</v>
      </c>
      <c r="B140" s="32">
        <f>IFERROR(__xludf.DUMMYFUNCTION("""COMPUTED_VALUE"""),42070.0)</f>
        <v>42070</v>
      </c>
      <c r="C140" s="33" t="str">
        <f>IFERROR(__xludf.DUMMYFUNCTION("""COMPUTED_VALUE"""),"Animation")</f>
        <v>Animation</v>
      </c>
      <c r="D140" s="33">
        <f>IFERROR(__xludf.DUMMYFUNCTION("""COMPUTED_VALUE"""),1.35E8)</f>
        <v>135000000</v>
      </c>
      <c r="E140" s="33">
        <f>IFERROR(__xludf.DUMMYFUNCTION("""COMPUTED_VALUE"""),3.86E8)</f>
        <v>386000000</v>
      </c>
    </row>
    <row r="141">
      <c r="A141" s="31" t="str">
        <f>IFERROR(__xludf.DUMMYFUNCTION("""COMPUTED_VALUE"""),"Hope Springs")</f>
        <v>Hope Springs</v>
      </c>
      <c r="B141" s="32">
        <f>IFERROR(__xludf.DUMMYFUNCTION("""COMPUTED_VALUE"""),41129.0)</f>
        <v>41129</v>
      </c>
      <c r="C141" s="33" t="str">
        <f>IFERROR(__xludf.DUMMYFUNCTION("""COMPUTED_VALUE"""),"Romance")</f>
        <v>Romance</v>
      </c>
      <c r="D141" s="33">
        <f>IFERROR(__xludf.DUMMYFUNCTION("""COMPUTED_VALUE"""),3.0E7)</f>
        <v>30000000</v>
      </c>
      <c r="E141" s="33">
        <f>IFERROR(__xludf.DUMMYFUNCTION("""COMPUTED_VALUE"""),1.143E8)</f>
        <v>114300000</v>
      </c>
    </row>
    <row r="142">
      <c r="A142" s="31" t="str">
        <f>IFERROR(__xludf.DUMMYFUNCTION("""COMPUTED_VALUE"""),"Horrible Bosses 2")</f>
        <v>Horrible Bosses 2</v>
      </c>
      <c r="B142" s="32">
        <f>IFERROR(__xludf.DUMMYFUNCTION("""COMPUTED_VALUE"""),41969.0)</f>
        <v>41969</v>
      </c>
      <c r="C142" s="33" t="str">
        <f>IFERROR(__xludf.DUMMYFUNCTION("""COMPUTED_VALUE"""),"Comedy")</f>
        <v>Comedy</v>
      </c>
      <c r="D142" s="33">
        <f>IFERROR(__xludf.DUMMYFUNCTION("""COMPUTED_VALUE"""),5.7E7)</f>
        <v>57000000</v>
      </c>
      <c r="E142" s="33">
        <f>IFERROR(__xludf.DUMMYFUNCTION("""COMPUTED_VALUE"""),1.077E8)</f>
        <v>107700000</v>
      </c>
    </row>
    <row r="143">
      <c r="A143" s="31" t="str">
        <f>IFERROR(__xludf.DUMMYFUNCTION("""COMPUTED_VALUE"""),"Hot Pursuit")</f>
        <v>Hot Pursuit</v>
      </c>
      <c r="B143" s="32">
        <f>IFERROR(__xludf.DUMMYFUNCTION("""COMPUTED_VALUE"""),42132.0)</f>
        <v>42132</v>
      </c>
      <c r="C143" s="33" t="str">
        <f>IFERROR(__xludf.DUMMYFUNCTION("""COMPUTED_VALUE"""),"Action")</f>
        <v>Action</v>
      </c>
      <c r="D143" s="33">
        <f>IFERROR(__xludf.DUMMYFUNCTION("""COMPUTED_VALUE"""),3.5E7)</f>
        <v>35000000</v>
      </c>
      <c r="E143" s="33">
        <f>IFERROR(__xludf.DUMMYFUNCTION("""COMPUTED_VALUE"""),5.17E7)</f>
        <v>51700000</v>
      </c>
    </row>
    <row r="144">
      <c r="A144" s="31" t="str">
        <f>IFERROR(__xludf.DUMMYFUNCTION("""COMPUTED_VALUE"""),"Hotel Transylvania")</f>
        <v>Hotel Transylvania</v>
      </c>
      <c r="B144" s="32">
        <f>IFERROR(__xludf.DUMMYFUNCTION("""COMPUTED_VALUE"""),41180.0)</f>
        <v>41180</v>
      </c>
      <c r="C144" s="33" t="str">
        <f>IFERROR(__xludf.DUMMYFUNCTION("""COMPUTED_VALUE"""),"Fantasy")</f>
        <v>Fantasy</v>
      </c>
      <c r="D144" s="33">
        <f>IFERROR(__xludf.DUMMYFUNCTION("""COMPUTED_VALUE"""),8.5E7)</f>
        <v>85000000</v>
      </c>
      <c r="E144" s="33">
        <f>IFERROR(__xludf.DUMMYFUNCTION("""COMPUTED_VALUE"""),3.584E8)</f>
        <v>358400000</v>
      </c>
    </row>
    <row r="145">
      <c r="A145" s="31" t="str">
        <f>IFERROR(__xludf.DUMMYFUNCTION("""COMPUTED_VALUE"""),"Hotel Transylvania 2")</f>
        <v>Hotel Transylvania 2</v>
      </c>
      <c r="B145" s="32">
        <f>IFERROR(__xludf.DUMMYFUNCTION("""COMPUTED_VALUE"""),42272.0)</f>
        <v>42272</v>
      </c>
      <c r="C145" s="33" t="str">
        <f>IFERROR(__xludf.DUMMYFUNCTION("""COMPUTED_VALUE"""),"Fantasy")</f>
        <v>Fantasy</v>
      </c>
      <c r="D145" s="33">
        <f>IFERROR(__xludf.DUMMYFUNCTION("""COMPUTED_VALUE"""),8.0E7)</f>
        <v>80000000</v>
      </c>
      <c r="E145" s="33">
        <f>IFERROR(__xludf.DUMMYFUNCTION("""COMPUTED_VALUE"""),4.73E8)</f>
        <v>473000000</v>
      </c>
    </row>
    <row r="146">
      <c r="A146" s="31" t="str">
        <f>IFERROR(__xludf.DUMMYFUNCTION("""COMPUTED_VALUE"""),"How to Train Your Dragon 2")</f>
        <v>How to Train Your Dragon 2</v>
      </c>
      <c r="B146" s="32">
        <f>IFERROR(__xludf.DUMMYFUNCTION("""COMPUTED_VALUE"""),41775.0)</f>
        <v>41775</v>
      </c>
      <c r="C146" s="33" t="str">
        <f>IFERROR(__xludf.DUMMYFUNCTION("""COMPUTED_VALUE"""),"Family")</f>
        <v>Family</v>
      </c>
      <c r="D146" s="33">
        <f>IFERROR(__xludf.DUMMYFUNCTION("""COMPUTED_VALUE"""),1.45E8)</f>
        <v>145000000</v>
      </c>
      <c r="E146" s="33">
        <f>IFERROR(__xludf.DUMMYFUNCTION("""COMPUTED_VALUE"""),6.215E8)</f>
        <v>621500000</v>
      </c>
    </row>
    <row r="147">
      <c r="A147" s="31" t="str">
        <f>IFERROR(__xludf.DUMMYFUNCTION("""COMPUTED_VALUE"""),"I")</f>
        <v>I</v>
      </c>
      <c r="B147" s="32">
        <f>IFERROR(__xludf.DUMMYFUNCTION("""COMPUTED_VALUE"""),42018.0)</f>
        <v>42018</v>
      </c>
      <c r="C147" s="33" t="str">
        <f>IFERROR(__xludf.DUMMYFUNCTION("""COMPUTED_VALUE"""),"Romance")</f>
        <v>Romance</v>
      </c>
      <c r="D147" s="33">
        <f>IFERROR(__xludf.DUMMYFUNCTION("""COMPUTED_VALUE"""),1.5E7)</f>
        <v>15000000</v>
      </c>
      <c r="E147" s="33">
        <f>IFERROR(__xludf.DUMMYFUNCTION("""COMPUTED_VALUE"""),6.5E7)</f>
        <v>65000000</v>
      </c>
    </row>
    <row r="148">
      <c r="A148" s="31" t="str">
        <f>IFERROR(__xludf.DUMMYFUNCTION("""COMPUTED_VALUE"""),"I Saw the Light")</f>
        <v>I Saw the Light</v>
      </c>
      <c r="B148" s="32">
        <f>IFERROR(__xludf.DUMMYFUNCTION("""COMPUTED_VALUE"""),42258.0)</f>
        <v>42258</v>
      </c>
      <c r="C148" s="33" t="str">
        <f>IFERROR(__xludf.DUMMYFUNCTION("""COMPUTED_VALUE"""),"Drama")</f>
        <v>Drama</v>
      </c>
      <c r="D148" s="33">
        <f>IFERROR(__xludf.DUMMYFUNCTION("""COMPUTED_VALUE"""),1.3E7)</f>
        <v>13000000</v>
      </c>
      <c r="E148" s="33">
        <f>IFERROR(__xludf.DUMMYFUNCTION("""COMPUTED_VALUE"""),2600000.0)</f>
        <v>2600000</v>
      </c>
    </row>
    <row r="149">
      <c r="A149" s="31" t="str">
        <f>IFERROR(__xludf.DUMMYFUNCTION("""COMPUTED_VALUE"""),"Ice Age: Collision Course")</f>
        <v>Ice Age: Collision Course</v>
      </c>
      <c r="B149" s="32">
        <f>IFERROR(__xludf.DUMMYFUNCTION("""COMPUTED_VALUE"""),42573.0)</f>
        <v>42573</v>
      </c>
      <c r="C149" s="33" t="str">
        <f>IFERROR(__xludf.DUMMYFUNCTION("""COMPUTED_VALUE"""),"Adventure")</f>
        <v>Adventure</v>
      </c>
      <c r="D149" s="33">
        <f>IFERROR(__xludf.DUMMYFUNCTION("""COMPUTED_VALUE"""),1.05E8)</f>
        <v>105000000</v>
      </c>
      <c r="E149" s="33">
        <f>IFERROR(__xludf.DUMMYFUNCTION("""COMPUTED_VALUE"""),3.683E8)</f>
        <v>368300000</v>
      </c>
    </row>
    <row r="150">
      <c r="A150" s="31" t="str">
        <f>IFERROR(__xludf.DUMMYFUNCTION("""COMPUTED_VALUE"""),"Ice Age: Continental Drift")</f>
        <v>Ice Age: Continental Drift</v>
      </c>
      <c r="B150" s="32">
        <f>IFERROR(__xludf.DUMMYFUNCTION("""COMPUTED_VALUE"""),41103.0)</f>
        <v>41103</v>
      </c>
      <c r="C150" s="33" t="str">
        <f>IFERROR(__xludf.DUMMYFUNCTION("""COMPUTED_VALUE"""),"Adventure")</f>
        <v>Adventure</v>
      </c>
      <c r="D150" s="33">
        <f>IFERROR(__xludf.DUMMYFUNCTION("""COMPUTED_VALUE"""),9.5E7)</f>
        <v>95000000</v>
      </c>
      <c r="E150" s="33">
        <f>IFERROR(__xludf.DUMMYFUNCTION("""COMPUTED_VALUE"""),8.77E8)</f>
        <v>877000000</v>
      </c>
    </row>
    <row r="151">
      <c r="A151" s="31" t="str">
        <f>IFERROR(__xludf.DUMMYFUNCTION("""COMPUTED_VALUE"""),"Identity Thief")</f>
        <v>Identity Thief</v>
      </c>
      <c r="B151" s="32">
        <f>IFERROR(__xludf.DUMMYFUNCTION("""COMPUTED_VALUE"""),41313.0)</f>
        <v>41313</v>
      </c>
      <c r="C151" s="33" t="str">
        <f>IFERROR(__xludf.DUMMYFUNCTION("""COMPUTED_VALUE"""),"Action")</f>
        <v>Action</v>
      </c>
      <c r="D151" s="33">
        <f>IFERROR(__xludf.DUMMYFUNCTION("""COMPUTED_VALUE"""),3.5E7)</f>
        <v>35000000</v>
      </c>
      <c r="E151" s="33">
        <f>IFERROR(__xludf.DUMMYFUNCTION("""COMPUTED_VALUE"""),1.74E8)</f>
        <v>174000000</v>
      </c>
    </row>
    <row r="152">
      <c r="A152" s="31" t="str">
        <f>IFERROR(__xludf.DUMMYFUNCTION("""COMPUTED_VALUE"""),"If I Stay")</f>
        <v>If I Stay</v>
      </c>
      <c r="B152" s="32">
        <f>IFERROR(__xludf.DUMMYFUNCTION("""COMPUTED_VALUE"""),41869.0)</f>
        <v>41869</v>
      </c>
      <c r="C152" s="33" t="str">
        <f>IFERROR(__xludf.DUMMYFUNCTION("""COMPUTED_VALUE"""),"Drama")</f>
        <v>Drama</v>
      </c>
      <c r="D152" s="33">
        <f>IFERROR(__xludf.DUMMYFUNCTION("""COMPUTED_VALUE"""),1.1E7)</f>
        <v>11000000</v>
      </c>
      <c r="E152" s="33">
        <f>IFERROR(__xludf.DUMMYFUNCTION("""COMPUTED_VALUE"""),7.89E7)</f>
        <v>78900000</v>
      </c>
    </row>
    <row r="153">
      <c r="A153" s="31" t="str">
        <f>IFERROR(__xludf.DUMMYFUNCTION("""COMPUTED_VALUE"""),"In the Heart of the Sea")</f>
        <v>In the Heart of the Sea</v>
      </c>
      <c r="B153" s="32">
        <f>IFERROR(__xludf.DUMMYFUNCTION("""COMPUTED_VALUE"""),42349.0)</f>
        <v>42349</v>
      </c>
      <c r="C153" s="33" t="str">
        <f>IFERROR(__xludf.DUMMYFUNCTION("""COMPUTED_VALUE"""),"Biography")</f>
        <v>Biography</v>
      </c>
      <c r="D153" s="33">
        <f>IFERROR(__xludf.DUMMYFUNCTION("""COMPUTED_VALUE"""),1.0E8)</f>
        <v>100000000</v>
      </c>
      <c r="E153" s="33">
        <f>IFERROR(__xludf.DUMMYFUNCTION("""COMPUTED_VALUE"""),9.39E7)</f>
        <v>93900000</v>
      </c>
    </row>
    <row r="154">
      <c r="A154" s="31" t="str">
        <f>IFERROR(__xludf.DUMMYFUNCTION("""COMPUTED_VALUE"""),"Independence Day: Resurgence")</f>
        <v>Independence Day: Resurgence</v>
      </c>
      <c r="B154" s="32">
        <f>IFERROR(__xludf.DUMMYFUNCTION("""COMPUTED_VALUE"""),42541.0)</f>
        <v>42541</v>
      </c>
      <c r="C154" s="33" t="str">
        <f>IFERROR(__xludf.DUMMYFUNCTION("""COMPUTED_VALUE"""),"Action")</f>
        <v>Action</v>
      </c>
      <c r="D154" s="33">
        <f>IFERROR(__xludf.DUMMYFUNCTION("""COMPUTED_VALUE"""),1.65E8)</f>
        <v>165000000</v>
      </c>
      <c r="E154" s="33">
        <f>IFERROR(__xludf.DUMMYFUNCTION("""COMPUTED_VALUE"""),3.823E8)</f>
        <v>382300000</v>
      </c>
    </row>
    <row r="155">
      <c r="A155" s="31" t="str">
        <f>IFERROR(__xludf.DUMMYFUNCTION("""COMPUTED_VALUE"""),"Insidious: Chapter 2")</f>
        <v>Insidious: Chapter 2</v>
      </c>
      <c r="B155" s="32">
        <f>IFERROR(__xludf.DUMMYFUNCTION("""COMPUTED_VALUE"""),41530.0)</f>
        <v>41530</v>
      </c>
      <c r="C155" s="33" t="str">
        <f>IFERROR(__xludf.DUMMYFUNCTION("""COMPUTED_VALUE"""),"Horror")</f>
        <v>Horror</v>
      </c>
      <c r="D155" s="33">
        <f>IFERROR(__xludf.DUMMYFUNCTION("""COMPUTED_VALUE"""),5000000.0)</f>
        <v>5000000</v>
      </c>
      <c r="E155" s="33">
        <f>IFERROR(__xludf.DUMMYFUNCTION("""COMPUTED_VALUE"""),1.619E8)</f>
        <v>161900000</v>
      </c>
    </row>
    <row r="156">
      <c r="A156" s="31" t="str">
        <f>IFERROR(__xludf.DUMMYFUNCTION("""COMPUTED_VALUE"""),"Insidious: Chapter 3")</f>
        <v>Insidious: Chapter 3</v>
      </c>
      <c r="B156" s="32">
        <f>IFERROR(__xludf.DUMMYFUNCTION("""COMPUTED_VALUE"""),42160.0)</f>
        <v>42160</v>
      </c>
      <c r="C156" s="33" t="str">
        <f>IFERROR(__xludf.DUMMYFUNCTION("""COMPUTED_VALUE"""),"Horror")</f>
        <v>Horror</v>
      </c>
      <c r="D156" s="33">
        <f>IFERROR(__xludf.DUMMYFUNCTION("""COMPUTED_VALUE"""),1.1E7)</f>
        <v>11000000</v>
      </c>
      <c r="E156" s="33">
        <f>IFERROR(__xludf.DUMMYFUNCTION("""COMPUTED_VALUE"""),1.13E8)</f>
        <v>113000000</v>
      </c>
    </row>
    <row r="157">
      <c r="A157" s="31" t="str">
        <f>IFERROR(__xludf.DUMMYFUNCTION("""COMPUTED_VALUE"""),"Interstellar")</f>
        <v>Interstellar</v>
      </c>
      <c r="B157" s="32">
        <f>IFERROR(__xludf.DUMMYFUNCTION("""COMPUTED_VALUE"""),41938.0)</f>
        <v>41938</v>
      </c>
      <c r="C157" s="33" t="str">
        <f>IFERROR(__xludf.DUMMYFUNCTION("""COMPUTED_VALUE"""),"Sci-Fi")</f>
        <v>Sci-Fi</v>
      </c>
      <c r="D157" s="33">
        <f>IFERROR(__xludf.DUMMYFUNCTION("""COMPUTED_VALUE"""),1.65E8)</f>
        <v>165000000</v>
      </c>
      <c r="E157" s="33">
        <f>IFERROR(__xludf.DUMMYFUNCTION("""COMPUTED_VALUE"""),6.751E8)</f>
        <v>675100000</v>
      </c>
    </row>
    <row r="158">
      <c r="A158" s="31" t="str">
        <f>IFERROR(__xludf.DUMMYFUNCTION("""COMPUTED_VALUE"""),"Into the Storm")</f>
        <v>Into the Storm</v>
      </c>
      <c r="B158" s="32">
        <f>IFERROR(__xludf.DUMMYFUNCTION("""COMPUTED_VALUE"""),41859.0)</f>
        <v>41859</v>
      </c>
      <c r="C158" s="33" t="str">
        <f>IFERROR(__xludf.DUMMYFUNCTION("""COMPUTED_VALUE"""),"Adventure")</f>
        <v>Adventure</v>
      </c>
      <c r="D158" s="33">
        <f>IFERROR(__xludf.DUMMYFUNCTION("""COMPUTED_VALUE"""),5.0E7)</f>
        <v>50000000</v>
      </c>
      <c r="E158" s="33">
        <f>IFERROR(__xludf.DUMMYFUNCTION("""COMPUTED_VALUE"""),1.617E8)</f>
        <v>161700000</v>
      </c>
    </row>
    <row r="159">
      <c r="A159" s="31" t="str">
        <f>IFERROR(__xludf.DUMMYFUNCTION("""COMPUTED_VALUE"""),"Iron Sky")</f>
        <v>Iron Sky</v>
      </c>
      <c r="B159" s="32">
        <f>IFERROR(__xludf.DUMMYFUNCTION("""COMPUTED_VALUE"""),41115.0)</f>
        <v>41115</v>
      </c>
      <c r="C159" s="33" t="str">
        <f>IFERROR(__xludf.DUMMYFUNCTION("""COMPUTED_VALUE"""),"Comedy")</f>
        <v>Comedy</v>
      </c>
      <c r="D159" s="33">
        <f>IFERROR(__xludf.DUMMYFUNCTION("""COMPUTED_VALUE"""),7500000.0)</f>
        <v>7500000</v>
      </c>
      <c r="E159" s="33">
        <f>IFERROR(__xludf.DUMMYFUNCTION("""COMPUTED_VALUE"""),8100000.0)</f>
        <v>8100000</v>
      </c>
    </row>
    <row r="160">
      <c r="A160" s="31" t="str">
        <f>IFERROR(__xludf.DUMMYFUNCTION("""COMPUTED_VALUE"""),"Irrational Man")</f>
        <v>Irrational Man</v>
      </c>
      <c r="B160" s="32">
        <f>IFERROR(__xludf.DUMMYFUNCTION("""COMPUTED_VALUE"""),42140.0)</f>
        <v>42140</v>
      </c>
      <c r="C160" s="33" t="str">
        <f>IFERROR(__xludf.DUMMYFUNCTION("""COMPUTED_VALUE"""),"Mystery")</f>
        <v>Mystery</v>
      </c>
      <c r="D160" s="33">
        <f>IFERROR(__xludf.DUMMYFUNCTION("""COMPUTED_VALUE"""),1.1E7)</f>
        <v>11000000</v>
      </c>
      <c r="E160" s="33">
        <f>IFERROR(__xludf.DUMMYFUNCTION("""COMPUTED_VALUE"""),2.74E7)</f>
        <v>27400000</v>
      </c>
    </row>
    <row r="161">
      <c r="A161" s="31" t="str">
        <f>IFERROR(__xludf.DUMMYFUNCTION("""COMPUTED_VALUE"""),"Jack Reacher")</f>
        <v>Jack Reacher</v>
      </c>
      <c r="B161" s="32">
        <f>IFERROR(__xludf.DUMMYFUNCTION("""COMPUTED_VALUE"""),41264.0)</f>
        <v>41264</v>
      </c>
      <c r="C161" s="33" t="str">
        <f>IFERROR(__xludf.DUMMYFUNCTION("""COMPUTED_VALUE"""),"Action")</f>
        <v>Action</v>
      </c>
      <c r="D161" s="33">
        <f>IFERROR(__xludf.DUMMYFUNCTION("""COMPUTED_VALUE"""),6.0E7)</f>
        <v>60000000</v>
      </c>
      <c r="E161" s="33">
        <f>IFERROR(__xludf.DUMMYFUNCTION("""COMPUTED_VALUE"""),2.183E8)</f>
        <v>218300000</v>
      </c>
    </row>
    <row r="162">
      <c r="A162" s="31" t="str">
        <f>IFERROR(__xludf.DUMMYFUNCTION("""COMPUTED_VALUE"""),"Jack Ryan: Shadow Recruit")</f>
        <v>Jack Ryan: Shadow Recruit</v>
      </c>
      <c r="B162" s="32">
        <f>IFERROR(__xludf.DUMMYFUNCTION("""COMPUTED_VALUE"""),41654.0)</f>
        <v>41654</v>
      </c>
      <c r="C162" s="33" t="str">
        <f>IFERROR(__xludf.DUMMYFUNCTION("""COMPUTED_VALUE"""),"Action")</f>
        <v>Action</v>
      </c>
      <c r="D162" s="33">
        <f>IFERROR(__xludf.DUMMYFUNCTION("""COMPUTED_VALUE"""),6.0E7)</f>
        <v>60000000</v>
      </c>
      <c r="E162" s="33">
        <f>IFERROR(__xludf.DUMMYFUNCTION("""COMPUTED_VALUE"""),1.355E8)</f>
        <v>135500000</v>
      </c>
    </row>
    <row r="163">
      <c r="A163" s="31" t="str">
        <f>IFERROR(__xludf.DUMMYFUNCTION("""COMPUTED_VALUE"""),"Jane Got a Gun")</f>
        <v>Jane Got a Gun</v>
      </c>
      <c r="B163" s="32">
        <f>IFERROR(__xludf.DUMMYFUNCTION("""COMPUTED_VALUE"""),42398.0)</f>
        <v>42398</v>
      </c>
      <c r="C163" s="33" t="str">
        <f>IFERROR(__xludf.DUMMYFUNCTION("""COMPUTED_VALUE"""),"Action")</f>
        <v>Action</v>
      </c>
      <c r="D163" s="33">
        <f>IFERROR(__xludf.DUMMYFUNCTION("""COMPUTED_VALUE"""),2.5E7)</f>
        <v>25000000</v>
      </c>
      <c r="E163" s="33">
        <f>IFERROR(__xludf.DUMMYFUNCTION("""COMPUTED_VALUE"""),3000000.0)</f>
        <v>3000000</v>
      </c>
    </row>
    <row r="164">
      <c r="A164" s="31" t="str">
        <f>IFERROR(__xludf.DUMMYFUNCTION("""COMPUTED_VALUE"""),"Jason Bourne")</f>
        <v>Jason Bourne</v>
      </c>
      <c r="B164" s="32">
        <f>IFERROR(__xludf.DUMMYFUNCTION("""COMPUTED_VALUE"""),42580.0)</f>
        <v>42580</v>
      </c>
      <c r="C164" s="33" t="str">
        <f>IFERROR(__xludf.DUMMYFUNCTION("""COMPUTED_VALUE"""),"Action")</f>
        <v>Action</v>
      </c>
      <c r="D164" s="33">
        <f>IFERROR(__xludf.DUMMYFUNCTION("""COMPUTED_VALUE"""),1.2E8)</f>
        <v>120000000</v>
      </c>
      <c r="E164" s="33">
        <f>IFERROR(__xludf.DUMMYFUNCTION("""COMPUTED_VALUE"""),3.479E8)</f>
        <v>347900000</v>
      </c>
    </row>
    <row r="165">
      <c r="A165" s="31" t="str">
        <f>IFERROR(__xludf.DUMMYFUNCTION("""COMPUTED_VALUE"""),"Jeff, Who Lives at Home")</f>
        <v>Jeff, Who Lives at Home</v>
      </c>
      <c r="B165" s="32">
        <f>IFERROR(__xludf.DUMMYFUNCTION("""COMPUTED_VALUE"""),40984.0)</f>
        <v>40984</v>
      </c>
      <c r="C165" s="33" t="str">
        <f>IFERROR(__xludf.DUMMYFUNCTION("""COMPUTED_VALUE"""),"Comedy")</f>
        <v>Comedy</v>
      </c>
      <c r="D165" s="33">
        <f>IFERROR(__xludf.DUMMYFUNCTION("""COMPUTED_VALUE"""),7500000.0)</f>
        <v>7500000</v>
      </c>
      <c r="E165" s="33">
        <f>IFERROR(__xludf.DUMMYFUNCTION("""COMPUTED_VALUE"""),7500000.0)</f>
        <v>7500000</v>
      </c>
    </row>
    <row r="166">
      <c r="A166" s="31" t="str">
        <f>IFERROR(__xludf.DUMMYFUNCTION("""COMPUTED_VALUE"""),"Jem and the Holograms")</f>
        <v>Jem and the Holograms</v>
      </c>
      <c r="B166" s="32">
        <f>IFERROR(__xludf.DUMMYFUNCTION("""COMPUTED_VALUE"""),42300.0)</f>
        <v>42300</v>
      </c>
      <c r="C166" s="33" t="str">
        <f>IFERROR(__xludf.DUMMYFUNCTION("""COMPUTED_VALUE"""),"Musical")</f>
        <v>Musical</v>
      </c>
      <c r="D166" s="33">
        <f>IFERROR(__xludf.DUMMYFUNCTION("""COMPUTED_VALUE"""),5000000.0)</f>
        <v>5000000</v>
      </c>
      <c r="E166" s="33">
        <f>IFERROR(__xludf.DUMMYFUNCTION("""COMPUTED_VALUE"""),2300000.0)</f>
        <v>2300000</v>
      </c>
    </row>
    <row r="167">
      <c r="A167" s="31" t="str">
        <f>IFERROR(__xludf.DUMMYFUNCTION("""COMPUTED_VALUE"""),"Jersey Boys")</f>
        <v>Jersey Boys</v>
      </c>
      <c r="B167" s="32">
        <f>IFERROR(__xludf.DUMMYFUNCTION("""COMPUTED_VALUE"""),41795.0)</f>
        <v>41795</v>
      </c>
      <c r="C167" s="33" t="str">
        <f>IFERROR(__xludf.DUMMYFUNCTION("""COMPUTED_VALUE"""),"Drama")</f>
        <v>Drama</v>
      </c>
      <c r="D167" s="33">
        <f>IFERROR(__xludf.DUMMYFUNCTION("""COMPUTED_VALUE"""),5.86E7)</f>
        <v>58600000</v>
      </c>
      <c r="E167" s="33">
        <f>IFERROR(__xludf.DUMMYFUNCTION("""COMPUTED_VALUE"""),6.77E7)</f>
        <v>67700000</v>
      </c>
    </row>
    <row r="168">
      <c r="A168" s="31" t="str">
        <f>IFERROR(__xludf.DUMMYFUNCTION("""COMPUTED_VALUE"""),"Jobs")</f>
        <v>Jobs</v>
      </c>
      <c r="B168" s="32">
        <f>IFERROR(__xludf.DUMMYFUNCTION("""COMPUTED_VALUE"""),41502.0)</f>
        <v>41502</v>
      </c>
      <c r="C168" s="33" t="str">
        <f>IFERROR(__xludf.DUMMYFUNCTION("""COMPUTED_VALUE"""),"Biography")</f>
        <v>Biography</v>
      </c>
      <c r="D168" s="33">
        <f>IFERROR(__xludf.DUMMYFUNCTION("""COMPUTED_VALUE"""),1.2E7)</f>
        <v>12000000</v>
      </c>
      <c r="E168" s="33">
        <f>IFERROR(__xludf.DUMMYFUNCTION("""COMPUTED_VALUE"""),3.59E7)</f>
        <v>35900000</v>
      </c>
    </row>
    <row r="169">
      <c r="A169" s="31" t="str">
        <f>IFERROR(__xludf.DUMMYFUNCTION("""COMPUTED_VALUE"""),"John Wick")</f>
        <v>John Wick</v>
      </c>
      <c r="B169" s="32">
        <f>IFERROR(__xludf.DUMMYFUNCTION("""COMPUTED_VALUE"""),41925.0)</f>
        <v>41925</v>
      </c>
      <c r="C169" s="33" t="str">
        <f>IFERROR(__xludf.DUMMYFUNCTION("""COMPUTED_VALUE"""),"Action")</f>
        <v>Action</v>
      </c>
      <c r="D169" s="33">
        <f>IFERROR(__xludf.DUMMYFUNCTION("""COMPUTED_VALUE"""),2.0E7)</f>
        <v>20000000</v>
      </c>
      <c r="E169" s="33">
        <f>IFERROR(__xludf.DUMMYFUNCTION("""COMPUTED_VALUE"""),8.6E7)</f>
        <v>86000000</v>
      </c>
    </row>
    <row r="170">
      <c r="A170" s="31" t="str">
        <f>IFERROR(__xludf.DUMMYFUNCTION("""COMPUTED_VALUE"""),"Journey 2: The Mysterious Island")</f>
        <v>Journey 2: The Mysterious Island</v>
      </c>
      <c r="B170" s="32">
        <f>IFERROR(__xludf.DUMMYFUNCTION("""COMPUTED_VALUE"""),40949.0)</f>
        <v>40949</v>
      </c>
      <c r="C170" s="33" t="str">
        <f>IFERROR(__xludf.DUMMYFUNCTION("""COMPUTED_VALUE"""),"Adventure")</f>
        <v>Adventure</v>
      </c>
      <c r="D170" s="33">
        <f>IFERROR(__xludf.DUMMYFUNCTION("""COMPUTED_VALUE"""),7.9E7)</f>
        <v>79000000</v>
      </c>
      <c r="E170" s="33">
        <f>IFERROR(__xludf.DUMMYFUNCTION("""COMPUTED_VALUE"""),3.353E8)</f>
        <v>335300000</v>
      </c>
    </row>
    <row r="171">
      <c r="A171" s="31" t="str">
        <f>IFERROR(__xludf.DUMMYFUNCTION("""COMPUTED_VALUE"""),"Joy")</f>
        <v>Joy</v>
      </c>
      <c r="B171" s="32">
        <f>IFERROR(__xludf.DUMMYFUNCTION("""COMPUTED_VALUE"""),42363.0)</f>
        <v>42363</v>
      </c>
      <c r="C171" s="33" t="str">
        <f>IFERROR(__xludf.DUMMYFUNCTION("""COMPUTED_VALUE"""),"Comedy")</f>
        <v>Comedy</v>
      </c>
      <c r="D171" s="33">
        <f>IFERROR(__xludf.DUMMYFUNCTION("""COMPUTED_VALUE"""),6.0E7)</f>
        <v>60000000</v>
      </c>
      <c r="E171" s="33">
        <f>IFERROR(__xludf.DUMMYFUNCTION("""COMPUTED_VALUE"""),1.011E8)</f>
        <v>101100000</v>
      </c>
    </row>
    <row r="172">
      <c r="A172" s="31" t="str">
        <f>IFERROR(__xludf.DUMMYFUNCTION("""COMPUTED_VALUE"""),"Keanu")</f>
        <v>Keanu</v>
      </c>
      <c r="B172" s="32">
        <f>IFERROR(__xludf.DUMMYFUNCTION("""COMPUTED_VALUE"""),42489.0)</f>
        <v>42489</v>
      </c>
      <c r="C172" s="33" t="str">
        <f>IFERROR(__xludf.DUMMYFUNCTION("""COMPUTED_VALUE"""),"Comedy")</f>
        <v>Comedy</v>
      </c>
      <c r="D172" s="33">
        <f>IFERROR(__xludf.DUMMYFUNCTION("""COMPUTED_VALUE"""),1.5E7)</f>
        <v>15000000</v>
      </c>
      <c r="E172" s="33">
        <f>IFERROR(__xludf.DUMMYFUNCTION("""COMPUTED_VALUE"""),2.07E7)</f>
        <v>20700000</v>
      </c>
    </row>
    <row r="173">
      <c r="A173" s="31" t="str">
        <f>IFERROR(__xludf.DUMMYFUNCTION("""COMPUTED_VALUE"""),"Kill the Messenger")</f>
        <v>Kill the Messenger</v>
      </c>
      <c r="B173" s="32">
        <f>IFERROR(__xludf.DUMMYFUNCTION("""COMPUTED_VALUE"""),41922.0)</f>
        <v>41922</v>
      </c>
      <c r="C173" s="33" t="str">
        <f>IFERROR(__xludf.DUMMYFUNCTION("""COMPUTED_VALUE"""),"Crime")</f>
        <v>Crime</v>
      </c>
      <c r="D173" s="33">
        <f>IFERROR(__xludf.DUMMYFUNCTION("""COMPUTED_VALUE"""),5000000.0)</f>
        <v>5000000</v>
      </c>
      <c r="E173" s="33">
        <f>IFERROR(__xludf.DUMMYFUNCTION("""COMPUTED_VALUE"""),2500000.0)</f>
        <v>2500000</v>
      </c>
    </row>
    <row r="174">
      <c r="A174" s="31" t="str">
        <f>IFERROR(__xludf.DUMMYFUNCTION("""COMPUTED_VALUE"""),"Killing Them Softly")</f>
        <v>Killing Them Softly</v>
      </c>
      <c r="B174" s="32">
        <f>IFERROR(__xludf.DUMMYFUNCTION("""COMPUTED_VALUE"""),41243.0)</f>
        <v>41243</v>
      </c>
      <c r="C174" s="33" t="str">
        <f>IFERROR(__xludf.DUMMYFUNCTION("""COMPUTED_VALUE"""),"Crime")</f>
        <v>Crime</v>
      </c>
      <c r="D174" s="33">
        <f>IFERROR(__xludf.DUMMYFUNCTION("""COMPUTED_VALUE"""),1.5E7)</f>
        <v>15000000</v>
      </c>
      <c r="E174" s="33">
        <f>IFERROR(__xludf.DUMMYFUNCTION("""COMPUTED_VALUE"""),3.79E7)</f>
        <v>37900000</v>
      </c>
    </row>
    <row r="175">
      <c r="A175" s="31" t="str">
        <f>IFERROR(__xludf.DUMMYFUNCTION("""COMPUTED_VALUE"""),"Kingsman: The Secret Service")</f>
        <v>Kingsman: The Secret Service</v>
      </c>
      <c r="B175" s="32">
        <f>IFERROR(__xludf.DUMMYFUNCTION("""COMPUTED_VALUE"""),41986.0)</f>
        <v>41986</v>
      </c>
      <c r="C175" s="33" t="str">
        <f>IFERROR(__xludf.DUMMYFUNCTION("""COMPUTED_VALUE"""),"Action")</f>
        <v>Action</v>
      </c>
      <c r="D175" s="33">
        <f>IFERROR(__xludf.DUMMYFUNCTION("""COMPUTED_VALUE"""),9.4E7)</f>
        <v>94000000</v>
      </c>
      <c r="E175" s="33">
        <f>IFERROR(__xludf.DUMMYFUNCTION("""COMPUTED_VALUE"""),4.144E8)</f>
        <v>414400000</v>
      </c>
    </row>
    <row r="176">
      <c r="A176" s="31" t="str">
        <f>IFERROR(__xludf.DUMMYFUNCTION("""COMPUTED_VALUE"""),"Krampus")</f>
        <v>Krampus</v>
      </c>
      <c r="B176" s="32">
        <f>IFERROR(__xludf.DUMMYFUNCTION("""COMPUTED_VALUE"""),42342.0)</f>
        <v>42342</v>
      </c>
      <c r="C176" s="33" t="str">
        <f>IFERROR(__xludf.DUMMYFUNCTION("""COMPUTED_VALUE"""),"Horror")</f>
        <v>Horror</v>
      </c>
      <c r="D176" s="33">
        <f>IFERROR(__xludf.DUMMYFUNCTION("""COMPUTED_VALUE"""),1.5E7)</f>
        <v>15000000</v>
      </c>
      <c r="E176" s="33">
        <f>IFERROR(__xludf.DUMMYFUNCTION("""COMPUTED_VALUE"""),6.15E7)</f>
        <v>61500000</v>
      </c>
    </row>
    <row r="177">
      <c r="A177" s="31" t="str">
        <f>IFERROR(__xludf.DUMMYFUNCTION("""COMPUTED_VALUE"""),"Kubo and the Two Strings")</f>
        <v>Kubo and the Two Strings</v>
      </c>
      <c r="B177" s="32">
        <f>IFERROR(__xludf.DUMMYFUNCTION("""COMPUTED_VALUE"""),42601.0)</f>
        <v>42601</v>
      </c>
      <c r="C177" s="33" t="str">
        <f>IFERROR(__xludf.DUMMYFUNCTION("""COMPUTED_VALUE"""),"Fantasy")</f>
        <v>Fantasy</v>
      </c>
      <c r="D177" s="33">
        <f>IFERROR(__xludf.DUMMYFUNCTION("""COMPUTED_VALUE"""),6.0E7)</f>
        <v>60000000</v>
      </c>
      <c r="E177" s="33">
        <f>IFERROR(__xludf.DUMMYFUNCTION("""COMPUTED_VALUE"""),2.76E7)</f>
        <v>27600000</v>
      </c>
    </row>
    <row r="178">
      <c r="A178" s="31" t="str">
        <f>IFERROR(__xludf.DUMMYFUNCTION("""COMPUTED_VALUE"""),"Kung Fu Panda 3")</f>
        <v>Kung Fu Panda 3</v>
      </c>
      <c r="B178" s="32">
        <f>IFERROR(__xludf.DUMMYFUNCTION("""COMPUTED_VALUE"""),42392.0)</f>
        <v>42392</v>
      </c>
      <c r="C178" s="33" t="str">
        <f>IFERROR(__xludf.DUMMYFUNCTION("""COMPUTED_VALUE"""),"Action")</f>
        <v>Action</v>
      </c>
      <c r="D178" s="33">
        <f>IFERROR(__xludf.DUMMYFUNCTION("""COMPUTED_VALUE"""),1.45E8)</f>
        <v>145000000</v>
      </c>
      <c r="E178" s="33">
        <f>IFERROR(__xludf.DUMMYFUNCTION("""COMPUTED_VALUE"""),5.199E8)</f>
        <v>519900000</v>
      </c>
    </row>
    <row r="179">
      <c r="A179" s="31" t="str">
        <f>IFERROR(__xludf.DUMMYFUNCTION("""COMPUTED_VALUE"""),"Lazer Team")</f>
        <v>Lazer Team</v>
      </c>
      <c r="B179" s="32">
        <f>IFERROR(__xludf.DUMMYFUNCTION("""COMPUTED_VALUE"""),42396.0)</f>
        <v>42396</v>
      </c>
      <c r="C179" s="33" t="str">
        <f>IFERROR(__xludf.DUMMYFUNCTION("""COMPUTED_VALUE"""),"Sci-Fi")</f>
        <v>Sci-Fi</v>
      </c>
      <c r="D179" s="33">
        <f>IFERROR(__xludf.DUMMYFUNCTION("""COMPUTED_VALUE"""),2400000.0)</f>
        <v>2400000</v>
      </c>
      <c r="E179" s="33">
        <f>IFERROR(__xludf.DUMMYFUNCTION("""COMPUTED_VALUE"""),1600000.0)</f>
        <v>1600000</v>
      </c>
    </row>
    <row r="180">
      <c r="A180" s="31" t="str">
        <f>IFERROR(__xludf.DUMMYFUNCTION("""COMPUTED_VALUE"""),"Left Behind")</f>
        <v>Left Behind</v>
      </c>
      <c r="B180" s="32">
        <f>IFERROR(__xludf.DUMMYFUNCTION("""COMPUTED_VALUE"""),41915.0)</f>
        <v>41915</v>
      </c>
      <c r="C180" s="33" t="str">
        <f>IFERROR(__xludf.DUMMYFUNCTION("""COMPUTED_VALUE"""),"Religious")</f>
        <v>Religious</v>
      </c>
      <c r="D180" s="33">
        <f>IFERROR(__xludf.DUMMYFUNCTION("""COMPUTED_VALUE"""),1.6E7)</f>
        <v>16000000</v>
      </c>
      <c r="E180" s="33">
        <f>IFERROR(__xludf.DUMMYFUNCTION("""COMPUTED_VALUE"""),2.76E7)</f>
        <v>27600000</v>
      </c>
    </row>
    <row r="181">
      <c r="A181" s="31" t="str">
        <f>IFERROR(__xludf.DUMMYFUNCTION("""COMPUTED_VALUE"""),"Les Misérables")</f>
        <v>Les Misérables</v>
      </c>
      <c r="B181" s="32">
        <f>IFERROR(__xludf.DUMMYFUNCTION("""COMPUTED_VALUE"""),41268.0)</f>
        <v>41268</v>
      </c>
      <c r="C181" s="33" t="str">
        <f>IFERROR(__xludf.DUMMYFUNCTION("""COMPUTED_VALUE"""),"Musical")</f>
        <v>Musical</v>
      </c>
      <c r="D181" s="33">
        <f>IFERROR(__xludf.DUMMYFUNCTION("""COMPUTED_VALUE"""),6.1E7)</f>
        <v>61000000</v>
      </c>
      <c r="E181" s="33">
        <f>IFERROR(__xludf.DUMMYFUNCTION("""COMPUTED_VALUE"""),4.418E8)</f>
        <v>441800000</v>
      </c>
    </row>
    <row r="182">
      <c r="A182" s="31" t="str">
        <f>IFERROR(__xludf.DUMMYFUNCTION("""COMPUTED_VALUE"""),"Let's Be Cops")</f>
        <v>Let's Be Cops</v>
      </c>
      <c r="B182" s="32">
        <f>IFERROR(__xludf.DUMMYFUNCTION("""COMPUTED_VALUE"""),41864.0)</f>
        <v>41864</v>
      </c>
      <c r="C182" s="33" t="str">
        <f>IFERROR(__xludf.DUMMYFUNCTION("""COMPUTED_VALUE"""),"Action")</f>
        <v>Action</v>
      </c>
      <c r="D182" s="33">
        <f>IFERROR(__xludf.DUMMYFUNCTION("""COMPUTED_VALUE"""),1.7E7)</f>
        <v>17000000</v>
      </c>
      <c r="E182" s="33">
        <f>IFERROR(__xludf.DUMMYFUNCTION("""COMPUTED_VALUE"""),1.382E8)</f>
        <v>138200000</v>
      </c>
    </row>
    <row r="183">
      <c r="A183" s="31" t="str">
        <f>IFERROR(__xludf.DUMMYFUNCTION("""COMPUTED_VALUE"""),"Life of Pi")</f>
        <v>Life of Pi</v>
      </c>
      <c r="B183" s="32">
        <f>IFERROR(__xludf.DUMMYFUNCTION("""COMPUTED_VALUE"""),41234.0)</f>
        <v>41234</v>
      </c>
      <c r="C183" s="33" t="str">
        <f>IFERROR(__xludf.DUMMYFUNCTION("""COMPUTED_VALUE"""),"Drama")</f>
        <v>Drama</v>
      </c>
      <c r="D183" s="33">
        <f>IFERROR(__xludf.DUMMYFUNCTION("""COMPUTED_VALUE"""),1.2E8)</f>
        <v>120000000</v>
      </c>
      <c r="E183" s="33">
        <f>IFERROR(__xludf.DUMMYFUNCTION("""COMPUTED_VALUE"""),6.09E8)</f>
        <v>609000000</v>
      </c>
    </row>
    <row r="184">
      <c r="A184" s="31" t="str">
        <f>IFERROR(__xludf.DUMMYFUNCTION("""COMPUTED_VALUE"""),"Lights Out")</f>
        <v>Lights Out</v>
      </c>
      <c r="B184" s="32">
        <f>IFERROR(__xludf.DUMMYFUNCTION("""COMPUTED_VALUE"""),42573.0)</f>
        <v>42573</v>
      </c>
      <c r="C184" s="33" t="str">
        <f>IFERROR(__xludf.DUMMYFUNCTION("""COMPUTED_VALUE"""),"Horror")</f>
        <v>Horror</v>
      </c>
      <c r="D184" s="33">
        <f>IFERROR(__xludf.DUMMYFUNCTION("""COMPUTED_VALUE"""),4900000.0)</f>
        <v>4900000</v>
      </c>
      <c r="E184" s="33">
        <f>IFERROR(__xludf.DUMMYFUNCTION("""COMPUTED_VALUE"""),1.259E8)</f>
        <v>125900000</v>
      </c>
    </row>
    <row r="185">
      <c r="A185" s="31" t="str">
        <f>IFERROR(__xludf.DUMMYFUNCTION("""COMPUTED_VALUE"""),"Lincoln")</f>
        <v>Lincoln</v>
      </c>
      <c r="B185" s="32">
        <f>IFERROR(__xludf.DUMMYFUNCTION("""COMPUTED_VALUE"""),41222.0)</f>
        <v>41222</v>
      </c>
      <c r="C185" s="33" t="str">
        <f>IFERROR(__xludf.DUMMYFUNCTION("""COMPUTED_VALUE"""),"Drama")</f>
        <v>Drama</v>
      </c>
      <c r="D185" s="33">
        <f>IFERROR(__xludf.DUMMYFUNCTION("""COMPUTED_VALUE"""),6.5E7)</f>
        <v>65000000</v>
      </c>
      <c r="E185" s="33">
        <f>IFERROR(__xludf.DUMMYFUNCTION("""COMPUTED_VALUE"""),2.753E8)</f>
        <v>275300000</v>
      </c>
    </row>
    <row r="186">
      <c r="A186" s="31" t="str">
        <f>IFERROR(__xludf.DUMMYFUNCTION("""COMPUTED_VALUE"""),"Little Boy")</f>
        <v>Little Boy</v>
      </c>
      <c r="B186" s="32">
        <f>IFERROR(__xludf.DUMMYFUNCTION("""COMPUTED_VALUE"""),42118.0)</f>
        <v>42118</v>
      </c>
      <c r="C186" s="33" t="str">
        <f>IFERROR(__xludf.DUMMYFUNCTION("""COMPUTED_VALUE"""),"Drama")</f>
        <v>Drama</v>
      </c>
      <c r="D186" s="33">
        <f>IFERROR(__xludf.DUMMYFUNCTION("""COMPUTED_VALUE"""),2.0E7)</f>
        <v>20000000</v>
      </c>
      <c r="E186" s="33">
        <f>IFERROR(__xludf.DUMMYFUNCTION("""COMPUTED_VALUE"""),1.75E7)</f>
        <v>17500000</v>
      </c>
    </row>
    <row r="187">
      <c r="A187" s="31" t="str">
        <f>IFERROR(__xludf.DUMMYFUNCTION("""COMPUTED_VALUE"""),"Lockout")</f>
        <v>Lockout</v>
      </c>
      <c r="B187" s="32">
        <f>IFERROR(__xludf.DUMMYFUNCTION("""COMPUTED_VALUE"""),41012.0)</f>
        <v>41012</v>
      </c>
      <c r="C187" s="33" t="str">
        <f>IFERROR(__xludf.DUMMYFUNCTION("""COMPUTED_VALUE"""),"Action")</f>
        <v>Action</v>
      </c>
      <c r="D187" s="33">
        <f>IFERROR(__xludf.DUMMYFUNCTION("""COMPUTED_VALUE"""),2.0E7)</f>
        <v>20000000</v>
      </c>
      <c r="E187" s="33">
        <f>IFERROR(__xludf.DUMMYFUNCTION("""COMPUTED_VALUE"""),3.2200000000000004E7)</f>
        <v>32200000</v>
      </c>
    </row>
    <row r="188">
      <c r="A188" s="31" t="str">
        <f>IFERROR(__xludf.DUMMYFUNCTION("""COMPUTED_VALUE"""),"London Has Fallen")</f>
        <v>London Has Fallen</v>
      </c>
      <c r="B188" s="32">
        <f>IFERROR(__xludf.DUMMYFUNCTION("""COMPUTED_VALUE"""),42433.0)</f>
        <v>42433</v>
      </c>
      <c r="C188" s="33" t="str">
        <f>IFERROR(__xludf.DUMMYFUNCTION("""COMPUTED_VALUE"""),"Action")</f>
        <v>Action</v>
      </c>
      <c r="D188" s="33">
        <f>IFERROR(__xludf.DUMMYFUNCTION("""COMPUTED_VALUE"""),6.0E7)</f>
        <v>60000000</v>
      </c>
      <c r="E188" s="33">
        <f>IFERROR(__xludf.DUMMYFUNCTION("""COMPUTED_VALUE"""),1.957E8)</f>
        <v>195700000</v>
      </c>
    </row>
    <row r="189">
      <c r="A189" s="31" t="str">
        <f>IFERROR(__xludf.DUMMYFUNCTION("""COMPUTED_VALUE"""),"Looper")</f>
        <v>Looper</v>
      </c>
      <c r="B189" s="32">
        <f>IFERROR(__xludf.DUMMYFUNCTION("""COMPUTED_VALUE"""),41180.0)</f>
        <v>41180</v>
      </c>
      <c r="C189" s="33" t="str">
        <f>IFERROR(__xludf.DUMMYFUNCTION("""COMPUTED_VALUE"""),"Action")</f>
        <v>Action</v>
      </c>
      <c r="D189" s="33">
        <f>IFERROR(__xludf.DUMMYFUNCTION("""COMPUTED_VALUE"""),3.0E7)</f>
        <v>30000000</v>
      </c>
      <c r="E189" s="33">
        <f>IFERROR(__xludf.DUMMYFUNCTION("""COMPUTED_VALUE"""),1.765E8)</f>
        <v>176500000</v>
      </c>
    </row>
    <row r="190">
      <c r="A190" s="31" t="str">
        <f>IFERROR(__xludf.DUMMYFUNCTION("""COMPUTED_VALUE"""),"Love the Coopers")</f>
        <v>Love the Coopers</v>
      </c>
      <c r="B190" s="32">
        <f>IFERROR(__xludf.DUMMYFUNCTION("""COMPUTED_VALUE"""),42312.0)</f>
        <v>42312</v>
      </c>
      <c r="C190" s="33" t="str">
        <f>IFERROR(__xludf.DUMMYFUNCTION("""COMPUTED_VALUE"""),"Romance")</f>
        <v>Romance</v>
      </c>
      <c r="D190" s="33">
        <f>IFERROR(__xludf.DUMMYFUNCTION("""COMPUTED_VALUE"""),2.4E7)</f>
        <v>24000000</v>
      </c>
      <c r="E190" s="33">
        <f>IFERROR(__xludf.DUMMYFUNCTION("""COMPUTED_VALUE"""),4.11E7)</f>
        <v>41100000</v>
      </c>
    </row>
    <row r="191">
      <c r="A191" s="31" t="str">
        <f>IFERROR(__xludf.DUMMYFUNCTION("""COMPUTED_VALUE"""),"Lucy")</f>
        <v>Lucy</v>
      </c>
      <c r="B191" s="32">
        <f>IFERROR(__xludf.DUMMYFUNCTION("""COMPUTED_VALUE"""),41845.0)</f>
        <v>41845</v>
      </c>
      <c r="C191" s="33" t="str">
        <f>IFERROR(__xludf.DUMMYFUNCTION("""COMPUTED_VALUE"""),"Sci-Fi")</f>
        <v>Sci-Fi</v>
      </c>
      <c r="D191" s="33">
        <f>IFERROR(__xludf.DUMMYFUNCTION("""COMPUTED_VALUE"""),4.0E7)</f>
        <v>40000000</v>
      </c>
      <c r="E191" s="33">
        <f>IFERROR(__xludf.DUMMYFUNCTION("""COMPUTED_VALUE"""),4.634E8)</f>
        <v>463400000</v>
      </c>
    </row>
    <row r="192">
      <c r="A192" s="31" t="str">
        <f>IFERROR(__xludf.DUMMYFUNCTION("""COMPUTED_VALUE"""),"Mad Max: Fury Road")</f>
        <v>Mad Max: Fury Road</v>
      </c>
      <c r="B192" s="32">
        <f>IFERROR(__xludf.DUMMYFUNCTION("""COMPUTED_VALUE"""),42131.0)</f>
        <v>42131</v>
      </c>
      <c r="C192" s="33" t="str">
        <f>IFERROR(__xludf.DUMMYFUNCTION("""COMPUTED_VALUE"""),"Action")</f>
        <v>Action</v>
      </c>
      <c r="D192" s="33">
        <f>IFERROR(__xludf.DUMMYFUNCTION("""COMPUTED_VALUE"""),1.5E8)</f>
        <v>150000000</v>
      </c>
      <c r="E192" s="33">
        <f>IFERROR(__xludf.DUMMYFUNCTION("""COMPUTED_VALUE"""),3.784E8)</f>
        <v>378400000</v>
      </c>
    </row>
    <row r="193">
      <c r="A193" s="31" t="str">
        <f>IFERROR(__xludf.DUMMYFUNCTION("""COMPUTED_VALUE"""),"Madagascar 3: Europe's Most Wanted")</f>
        <v>Madagascar 3: Europe's Most Wanted</v>
      </c>
      <c r="B193" s="32">
        <f>IFERROR(__xludf.DUMMYFUNCTION("""COMPUTED_VALUE"""),41068.0)</f>
        <v>41068</v>
      </c>
      <c r="C193" s="33" t="str">
        <f>IFERROR(__xludf.DUMMYFUNCTION("""COMPUTED_VALUE"""),"Comedy")</f>
        <v>Comedy</v>
      </c>
      <c r="D193" s="33">
        <f>IFERROR(__xludf.DUMMYFUNCTION("""COMPUTED_VALUE"""),1.45E8)</f>
        <v>145000000</v>
      </c>
      <c r="E193" s="33">
        <f>IFERROR(__xludf.DUMMYFUNCTION("""COMPUTED_VALUE"""),7.469E8)</f>
        <v>746900000</v>
      </c>
    </row>
    <row r="194">
      <c r="A194" s="31" t="str">
        <f>IFERROR(__xludf.DUMMYFUNCTION("""COMPUTED_VALUE"""),"Magic in the Moonlight")</f>
        <v>Magic in the Moonlight</v>
      </c>
      <c r="B194" s="32">
        <f>IFERROR(__xludf.DUMMYFUNCTION("""COMPUTED_VALUE"""),41845.0)</f>
        <v>41845</v>
      </c>
      <c r="C194" s="33" t="str">
        <f>IFERROR(__xludf.DUMMYFUNCTION("""COMPUTED_VALUE"""),"Comedy")</f>
        <v>Comedy</v>
      </c>
      <c r="D194" s="33">
        <f>IFERROR(__xludf.DUMMYFUNCTION("""COMPUTED_VALUE"""),1.68E7)</f>
        <v>16800000</v>
      </c>
      <c r="E194" s="33">
        <f>IFERROR(__xludf.DUMMYFUNCTION("""COMPUTED_VALUE"""),5.1E7)</f>
        <v>51000000</v>
      </c>
    </row>
    <row r="195">
      <c r="A195" s="31" t="str">
        <f>IFERROR(__xludf.DUMMYFUNCTION("""COMPUTED_VALUE"""),"Mama")</f>
        <v>Mama</v>
      </c>
      <c r="B195" s="32">
        <f>IFERROR(__xludf.DUMMYFUNCTION("""COMPUTED_VALUE"""),41292.0)</f>
        <v>41292</v>
      </c>
      <c r="C195" s="33" t="str">
        <f>IFERROR(__xludf.DUMMYFUNCTION("""COMPUTED_VALUE"""),"Horror")</f>
        <v>Horror</v>
      </c>
      <c r="D195" s="33">
        <f>IFERROR(__xludf.DUMMYFUNCTION("""COMPUTED_VALUE"""),1.5E7)</f>
        <v>15000000</v>
      </c>
      <c r="E195" s="33">
        <f>IFERROR(__xludf.DUMMYFUNCTION("""COMPUTED_VALUE"""),1.464E8)</f>
        <v>146400000</v>
      </c>
    </row>
    <row r="196">
      <c r="A196" s="31" t="str">
        <f>IFERROR(__xludf.DUMMYFUNCTION("""COMPUTED_VALUE"""),"Man of Steel")</f>
        <v>Man of Steel</v>
      </c>
      <c r="B196" s="32">
        <f>IFERROR(__xludf.DUMMYFUNCTION("""COMPUTED_VALUE"""),41439.0)</f>
        <v>41439</v>
      </c>
      <c r="C196" s="33" t="str">
        <f>IFERROR(__xludf.DUMMYFUNCTION("""COMPUTED_VALUE"""),"Action")</f>
        <v>Action</v>
      </c>
      <c r="D196" s="33">
        <f>IFERROR(__xludf.DUMMYFUNCTION("""COMPUTED_VALUE"""),2.25E8)</f>
        <v>225000000</v>
      </c>
      <c r="E196" s="33">
        <f>IFERROR(__xludf.DUMMYFUNCTION("""COMPUTED_VALUE"""),6.68E8)</f>
        <v>668000000</v>
      </c>
    </row>
    <row r="197">
      <c r="A197" s="31" t="str">
        <f>IFERROR(__xludf.DUMMYFUNCTION("""COMPUTED_VALUE"""),"Man on a Ledge")</f>
        <v>Man on a Ledge</v>
      </c>
      <c r="B197" s="32">
        <f>IFERROR(__xludf.DUMMYFUNCTION("""COMPUTED_VALUE"""),40935.0)</f>
        <v>40935</v>
      </c>
      <c r="C197" s="33" t="str">
        <f>IFERROR(__xludf.DUMMYFUNCTION("""COMPUTED_VALUE"""),"Action")</f>
        <v>Action</v>
      </c>
      <c r="D197" s="33">
        <f>IFERROR(__xludf.DUMMYFUNCTION("""COMPUTED_VALUE"""),4.2E7)</f>
        <v>42000000</v>
      </c>
      <c r="E197" s="33">
        <f>IFERROR(__xludf.DUMMYFUNCTION("""COMPUTED_VALUE"""),4.62E7)</f>
        <v>46200000</v>
      </c>
    </row>
    <row r="198">
      <c r="A198" s="31" t="str">
        <f>IFERROR(__xludf.DUMMYFUNCTION("""COMPUTED_VALUE"""),"Max")</f>
        <v>Max</v>
      </c>
      <c r="B198" s="32">
        <f>IFERROR(__xludf.DUMMYFUNCTION("""COMPUTED_VALUE"""),42181.0)</f>
        <v>42181</v>
      </c>
      <c r="C198" s="33" t="str">
        <f>IFERROR(__xludf.DUMMYFUNCTION("""COMPUTED_VALUE"""),"Adventure")</f>
        <v>Adventure</v>
      </c>
      <c r="D198" s="33">
        <f>IFERROR(__xludf.DUMMYFUNCTION("""COMPUTED_VALUE"""),2.0E7)</f>
        <v>20000000</v>
      </c>
      <c r="E198" s="33">
        <f>IFERROR(__xludf.DUMMYFUNCTION("""COMPUTED_VALUE"""),4.4E7)</f>
        <v>44000000</v>
      </c>
    </row>
    <row r="199">
      <c r="A199" s="31" t="str">
        <f>IFERROR(__xludf.DUMMYFUNCTION("""COMPUTED_VALUE"""),"Maze Runner: The Scorch Trials")</f>
        <v>Maze Runner: The Scorch Trials</v>
      </c>
      <c r="B199" s="32">
        <f>IFERROR(__xludf.DUMMYFUNCTION("""COMPUTED_VALUE"""),42265.0)</f>
        <v>42265</v>
      </c>
      <c r="C199" s="33" t="str">
        <f>IFERROR(__xludf.DUMMYFUNCTION("""COMPUTED_VALUE"""),"Sci-Fi")</f>
        <v>Sci-Fi</v>
      </c>
      <c r="D199" s="33">
        <f>IFERROR(__xludf.DUMMYFUNCTION("""COMPUTED_VALUE"""),6.1E7)</f>
        <v>61000000</v>
      </c>
      <c r="E199" s="33">
        <f>IFERROR(__xludf.DUMMYFUNCTION("""COMPUTED_VALUE"""),3.123E8)</f>
        <v>312300000</v>
      </c>
    </row>
    <row r="200">
      <c r="A200" s="31" t="str">
        <f>IFERROR(__xludf.DUMMYFUNCTION("""COMPUTED_VALUE"""),"Me and Earl and the Dying Girl")</f>
        <v>Me and Earl and the Dying Girl</v>
      </c>
      <c r="B200" s="32">
        <f>IFERROR(__xludf.DUMMYFUNCTION("""COMPUTED_VALUE"""),42029.0)</f>
        <v>42029</v>
      </c>
      <c r="C200" s="33" t="str">
        <f>IFERROR(__xludf.DUMMYFUNCTION("""COMPUTED_VALUE"""),"Comedy")</f>
        <v>Comedy</v>
      </c>
      <c r="D200" s="33">
        <f>IFERROR(__xludf.DUMMYFUNCTION("""COMPUTED_VALUE"""),8000000.0)</f>
        <v>8000000</v>
      </c>
      <c r="E200" s="33">
        <f>IFERROR(__xludf.DUMMYFUNCTION("""COMPUTED_VALUE"""),9100000.0)</f>
        <v>9100000</v>
      </c>
    </row>
    <row r="201">
      <c r="A201" s="31" t="str">
        <f>IFERROR(__xludf.DUMMYFUNCTION("""COMPUTED_VALUE"""),"Me Before You")</f>
        <v>Me Before You</v>
      </c>
      <c r="B201" s="32">
        <f>IFERROR(__xludf.DUMMYFUNCTION("""COMPUTED_VALUE"""),42524.0)</f>
        <v>42524</v>
      </c>
      <c r="C201" s="33" t="str">
        <f>IFERROR(__xludf.DUMMYFUNCTION("""COMPUTED_VALUE"""),"Drama")</f>
        <v>Drama</v>
      </c>
      <c r="D201" s="33">
        <f>IFERROR(__xludf.DUMMYFUNCTION("""COMPUTED_VALUE"""),2.0E7)</f>
        <v>20000000</v>
      </c>
      <c r="E201" s="33">
        <f>IFERROR(__xludf.DUMMYFUNCTION("""COMPUTED_VALUE"""),1.962E8)</f>
        <v>196200000</v>
      </c>
    </row>
    <row r="202">
      <c r="A202" s="31" t="str">
        <f>IFERROR(__xludf.DUMMYFUNCTION("""COMPUTED_VALUE"""),"Mechanic: Resurrection")</f>
        <v>Mechanic: Resurrection</v>
      </c>
      <c r="B202" s="32">
        <f>IFERROR(__xludf.DUMMYFUNCTION("""COMPUTED_VALUE"""),42608.0)</f>
        <v>42608</v>
      </c>
      <c r="C202" s="33" t="str">
        <f>IFERROR(__xludf.DUMMYFUNCTION("""COMPUTED_VALUE"""),"Action")</f>
        <v>Action</v>
      </c>
      <c r="D202" s="33">
        <f>IFERROR(__xludf.DUMMYFUNCTION("""COMPUTED_VALUE"""),4.0E7)</f>
        <v>40000000</v>
      </c>
      <c r="E202" s="33">
        <f>IFERROR(__xludf.DUMMYFUNCTION("""COMPUTED_VALUE"""),7500000.0)</f>
        <v>7500000</v>
      </c>
    </row>
    <row r="203">
      <c r="A203" s="31" t="str">
        <f>IFERROR(__xludf.DUMMYFUNCTION("""COMPUTED_VALUE"""),"Men in Black 3")</f>
        <v>Men in Black 3</v>
      </c>
      <c r="B203" s="32">
        <f>IFERROR(__xludf.DUMMYFUNCTION("""COMPUTED_VALUE"""),41054.0)</f>
        <v>41054</v>
      </c>
      <c r="C203" s="33" t="str">
        <f>IFERROR(__xludf.DUMMYFUNCTION("""COMPUTED_VALUE"""),"Comedy")</f>
        <v>Comedy</v>
      </c>
      <c r="D203" s="33">
        <f>IFERROR(__xludf.DUMMYFUNCTION("""COMPUTED_VALUE"""),2.15E8)</f>
        <v>215000000</v>
      </c>
      <c r="E203" s="33">
        <f>IFERROR(__xludf.DUMMYFUNCTION("""COMPUTED_VALUE"""),6.24E8)</f>
        <v>624000000</v>
      </c>
    </row>
    <row r="204">
      <c r="A204" s="31" t="str">
        <f>IFERROR(__xludf.DUMMYFUNCTION("""COMPUTED_VALUE"""),"Midnight Special")</f>
        <v>Midnight Special</v>
      </c>
      <c r="B204" s="32">
        <f>IFERROR(__xludf.DUMMYFUNCTION("""COMPUTED_VALUE"""),42412.0)</f>
        <v>42412</v>
      </c>
      <c r="C204" s="33" t="str">
        <f>IFERROR(__xludf.DUMMYFUNCTION("""COMPUTED_VALUE"""),"Sci-Fi")</f>
        <v>Sci-Fi</v>
      </c>
      <c r="D204" s="33">
        <f>IFERROR(__xludf.DUMMYFUNCTION("""COMPUTED_VALUE"""),1.8E7)</f>
        <v>18000000</v>
      </c>
      <c r="E204" s="33">
        <f>IFERROR(__xludf.DUMMYFUNCTION("""COMPUTED_VALUE"""),6200000.0)</f>
        <v>6200000</v>
      </c>
    </row>
    <row r="205">
      <c r="A205" s="31" t="str">
        <f>IFERROR(__xludf.DUMMYFUNCTION("""COMPUTED_VALUE"""),"Miracles from Heaven")</f>
        <v>Miracles from Heaven</v>
      </c>
      <c r="B205" s="32">
        <f>IFERROR(__xludf.DUMMYFUNCTION("""COMPUTED_VALUE"""),42445.0)</f>
        <v>42445</v>
      </c>
      <c r="C205" s="33" t="str">
        <f>IFERROR(__xludf.DUMMYFUNCTION("""COMPUTED_VALUE"""),"Drama")</f>
        <v>Drama</v>
      </c>
      <c r="D205" s="33">
        <f>IFERROR(__xludf.DUMMYFUNCTION("""COMPUTED_VALUE"""),1.3E7)</f>
        <v>13000000</v>
      </c>
      <c r="E205" s="33">
        <f>IFERROR(__xludf.DUMMYFUNCTION("""COMPUTED_VALUE"""),7.36E7)</f>
        <v>73600000</v>
      </c>
    </row>
    <row r="206">
      <c r="A206" s="31" t="str">
        <f>IFERROR(__xludf.DUMMYFUNCTION("""COMPUTED_VALUE"""),"Mirror Mirror")</f>
        <v>Mirror Mirror</v>
      </c>
      <c r="B206" s="32">
        <f>IFERROR(__xludf.DUMMYFUNCTION("""COMPUTED_VALUE"""),40998.0)</f>
        <v>40998</v>
      </c>
      <c r="C206" s="33" t="str">
        <f>IFERROR(__xludf.DUMMYFUNCTION("""COMPUTED_VALUE"""),"Fantasy")</f>
        <v>Fantasy</v>
      </c>
      <c r="D206" s="33">
        <f>IFERROR(__xludf.DUMMYFUNCTION("""COMPUTED_VALUE"""),8.5E7)</f>
        <v>85000000</v>
      </c>
      <c r="E206" s="33">
        <f>IFERROR(__xludf.DUMMYFUNCTION("""COMPUTED_VALUE"""),1.83E8)</f>
        <v>183000000</v>
      </c>
    </row>
    <row r="207">
      <c r="A207" s="31" t="str">
        <f>IFERROR(__xludf.DUMMYFUNCTION("""COMPUTED_VALUE"""),"Mission: Impossible – Rogue Nation")</f>
        <v>Mission: Impossible – Rogue Nation</v>
      </c>
      <c r="B207" s="32">
        <f>IFERROR(__xludf.DUMMYFUNCTION("""COMPUTED_VALUE"""),42208.0)</f>
        <v>42208</v>
      </c>
      <c r="C207" s="33" t="str">
        <f>IFERROR(__xludf.DUMMYFUNCTION("""COMPUTED_VALUE"""),"Action")</f>
        <v>Action</v>
      </c>
      <c r="D207" s="33">
        <f>IFERROR(__xludf.DUMMYFUNCTION("""COMPUTED_VALUE"""),1.5E8)</f>
        <v>150000000</v>
      </c>
      <c r="E207" s="33">
        <f>IFERROR(__xludf.DUMMYFUNCTION("""COMPUTED_VALUE"""),6.823E8)</f>
        <v>682300000</v>
      </c>
    </row>
    <row r="208">
      <c r="A208" s="31" t="str">
        <f>IFERROR(__xludf.DUMMYFUNCTION("""COMPUTED_VALUE"""),"Moms' Night Out")</f>
        <v>Moms' Night Out</v>
      </c>
      <c r="B208" s="32">
        <f>IFERROR(__xludf.DUMMYFUNCTION("""COMPUTED_VALUE"""),41768.0)</f>
        <v>41768</v>
      </c>
      <c r="C208" s="33" t="str">
        <f>IFERROR(__xludf.DUMMYFUNCTION("""COMPUTED_VALUE"""),"Religious")</f>
        <v>Religious</v>
      </c>
      <c r="D208" s="33">
        <f>IFERROR(__xludf.DUMMYFUNCTION("""COMPUTED_VALUE"""),5000000.0)</f>
        <v>5000000</v>
      </c>
      <c r="E208" s="33">
        <f>IFERROR(__xludf.DUMMYFUNCTION("""COMPUTED_VALUE"""),1.05E7)</f>
        <v>10500000</v>
      </c>
    </row>
    <row r="209">
      <c r="A209" s="31" t="str">
        <f>IFERROR(__xludf.DUMMYFUNCTION("""COMPUTED_VALUE"""),"Money Monster")</f>
        <v>Money Monster</v>
      </c>
      <c r="B209" s="32">
        <f>IFERROR(__xludf.DUMMYFUNCTION("""COMPUTED_VALUE"""),42503.0)</f>
        <v>42503</v>
      </c>
      <c r="C209" s="33" t="str">
        <f>IFERROR(__xludf.DUMMYFUNCTION("""COMPUTED_VALUE"""),"Drama")</f>
        <v>Drama</v>
      </c>
      <c r="D209" s="33">
        <f>IFERROR(__xludf.DUMMYFUNCTION("""COMPUTED_VALUE"""),2.7E7)</f>
        <v>27000000</v>
      </c>
      <c r="E209" s="33">
        <f>IFERROR(__xludf.DUMMYFUNCTION("""COMPUTED_VALUE"""),9.31E7)</f>
        <v>93100000</v>
      </c>
    </row>
    <row r="210">
      <c r="A210" s="31" t="str">
        <f>IFERROR(__xludf.DUMMYFUNCTION("""COMPUTED_VALUE"""),"Monster Hunt")</f>
        <v>Monster Hunt</v>
      </c>
      <c r="B210" s="32">
        <f>IFERROR(__xludf.DUMMYFUNCTION("""COMPUTED_VALUE"""),42391.0)</f>
        <v>42391</v>
      </c>
      <c r="C210" s="33" t="str">
        <f>IFERROR(__xludf.DUMMYFUNCTION("""COMPUTED_VALUE"""),"Action")</f>
        <v>Action</v>
      </c>
      <c r="D210" s="33">
        <f>IFERROR(__xludf.DUMMYFUNCTION("""COMPUTED_VALUE"""),5.6E7)</f>
        <v>56000000</v>
      </c>
      <c r="E210" s="33">
        <f>IFERROR(__xludf.DUMMYFUNCTION("""COMPUTED_VALUE"""),3.852E8)</f>
        <v>385200000</v>
      </c>
    </row>
    <row r="211">
      <c r="A211" s="31" t="str">
        <f>IFERROR(__xludf.DUMMYFUNCTION("""COMPUTED_VALUE"""),"Moonrise Kingdom ₪")</f>
        <v>Moonrise Kingdom ₪</v>
      </c>
      <c r="B211" s="32">
        <f>IFERROR(__xludf.DUMMYFUNCTION("""COMPUTED_VALUE"""),41054.0)</f>
        <v>41054</v>
      </c>
      <c r="C211" s="33" t="str">
        <f>IFERROR(__xludf.DUMMYFUNCTION("""COMPUTED_VALUE"""),"Comedy")</f>
        <v>Comedy</v>
      </c>
      <c r="D211" s="33">
        <f>IFERROR(__xludf.DUMMYFUNCTION("""COMPUTED_VALUE"""),1.6E7)</f>
        <v>16000000</v>
      </c>
      <c r="E211" s="33">
        <f>IFERROR(__xludf.DUMMYFUNCTION("""COMPUTED_VALUE"""),6.83E7)</f>
        <v>68300000</v>
      </c>
    </row>
    <row r="212">
      <c r="A212" s="31" t="str">
        <f>IFERROR(__xludf.DUMMYFUNCTION("""COMPUTED_VALUE"""),"Mortdecai")</f>
        <v>Mortdecai</v>
      </c>
      <c r="B212" s="32">
        <f>IFERROR(__xludf.DUMMYFUNCTION("""COMPUTED_VALUE"""),42027.0)</f>
        <v>42027</v>
      </c>
      <c r="C212" s="33" t="str">
        <f>IFERROR(__xludf.DUMMYFUNCTION("""COMPUTED_VALUE"""),"Action")</f>
        <v>Action</v>
      </c>
      <c r="D212" s="33">
        <f>IFERROR(__xludf.DUMMYFUNCTION("""COMPUTED_VALUE"""),6.0E7)</f>
        <v>60000000</v>
      </c>
      <c r="E212" s="33">
        <f>IFERROR(__xludf.DUMMYFUNCTION("""COMPUTED_VALUE"""),4.7E7)</f>
        <v>47000000</v>
      </c>
    </row>
    <row r="213">
      <c r="A213" s="31" t="str">
        <f>IFERROR(__xludf.DUMMYFUNCTION("""COMPUTED_VALUE"""),"Mother's Day")</f>
        <v>Mother's Day</v>
      </c>
      <c r="B213" s="32">
        <f>IFERROR(__xludf.DUMMYFUNCTION("""COMPUTED_VALUE"""),42473.0)</f>
        <v>42473</v>
      </c>
      <c r="C213" s="33" t="str">
        <f>IFERROR(__xludf.DUMMYFUNCTION("""COMPUTED_VALUE"""),"Comedy")</f>
        <v>Comedy</v>
      </c>
      <c r="D213" s="33">
        <f>IFERROR(__xludf.DUMMYFUNCTION("""COMPUTED_VALUE"""),2.5E7)</f>
        <v>25000000</v>
      </c>
      <c r="E213" s="33">
        <f>IFERROR(__xludf.DUMMYFUNCTION("""COMPUTED_VALUE"""),4.38E7)</f>
        <v>43800000</v>
      </c>
    </row>
    <row r="214">
      <c r="A214" s="31" t="str">
        <f>IFERROR(__xludf.DUMMYFUNCTION("""COMPUTED_VALUE"""),"Mr. Peabody &amp; Sherman")</f>
        <v>Mr. Peabody &amp; Sherman</v>
      </c>
      <c r="B214" s="32">
        <f>IFERROR(__xludf.DUMMYFUNCTION("""COMPUTED_VALUE"""),41677.0)</f>
        <v>41677</v>
      </c>
      <c r="C214" s="33" t="str">
        <f>IFERROR(__xludf.DUMMYFUNCTION("""COMPUTED_VALUE"""),"Family")</f>
        <v>Family</v>
      </c>
      <c r="D214" s="33">
        <f>IFERROR(__xludf.DUMMYFUNCTION("""COMPUTED_VALUE"""),1.45E8)</f>
        <v>145000000</v>
      </c>
      <c r="E214" s="33">
        <f>IFERROR(__xludf.DUMMYFUNCTION("""COMPUTED_VALUE"""),2.757E8)</f>
        <v>275700000</v>
      </c>
    </row>
    <row r="215">
      <c r="A215" s="31" t="str">
        <f>IFERROR(__xludf.DUMMYFUNCTION("""COMPUTED_VALUE"""),"Mud")</f>
        <v>Mud</v>
      </c>
      <c r="B215" s="32">
        <f>IFERROR(__xludf.DUMMYFUNCTION("""COMPUTED_VALUE"""),41390.0)</f>
        <v>41390</v>
      </c>
      <c r="C215" s="33" t="str">
        <f>IFERROR(__xludf.DUMMYFUNCTION("""COMPUTED_VALUE"""),"Drama")</f>
        <v>Drama</v>
      </c>
      <c r="D215" s="33">
        <f>IFERROR(__xludf.DUMMYFUNCTION("""COMPUTED_VALUE"""),1.0E7)</f>
        <v>10000000</v>
      </c>
      <c r="E215" s="33">
        <f>IFERROR(__xludf.DUMMYFUNCTION("""COMPUTED_VALUE"""),3.26E7)</f>
        <v>32600000</v>
      </c>
    </row>
    <row r="216">
      <c r="A216" s="31" t="str">
        <f>IFERROR(__xludf.DUMMYFUNCTION("""COMPUTED_VALUE"""),"Mustang")</f>
        <v>Mustang</v>
      </c>
      <c r="B216" s="32">
        <f>IFERROR(__xludf.DUMMYFUNCTION("""COMPUTED_VALUE"""),42143.0)</f>
        <v>42143</v>
      </c>
      <c r="C216" s="33" t="str">
        <f>IFERROR(__xludf.DUMMYFUNCTION("""COMPUTED_VALUE"""),"Drama")</f>
        <v>Drama</v>
      </c>
      <c r="D216" s="33">
        <f>IFERROR(__xludf.DUMMYFUNCTION("""COMPUTED_VALUE"""),1300000.0)</f>
        <v>1300000</v>
      </c>
      <c r="E216" s="33">
        <f>IFERROR(__xludf.DUMMYFUNCTION("""COMPUTED_VALUE"""),4900000.0)</f>
        <v>4900000</v>
      </c>
    </row>
    <row r="217">
      <c r="A217" s="31" t="str">
        <f>IFERROR(__xludf.DUMMYFUNCTION("""COMPUTED_VALUE"""),"My All American")</f>
        <v>My All American</v>
      </c>
      <c r="B217" s="32">
        <f>IFERROR(__xludf.DUMMYFUNCTION("""COMPUTED_VALUE"""),42321.0)</f>
        <v>42321</v>
      </c>
      <c r="C217" s="33" t="str">
        <f>IFERROR(__xludf.DUMMYFUNCTION("""COMPUTED_VALUE"""),"Biography")</f>
        <v>Biography</v>
      </c>
      <c r="D217" s="33">
        <f>IFERROR(__xludf.DUMMYFUNCTION("""COMPUTED_VALUE"""),2.0E7)</f>
        <v>20000000</v>
      </c>
      <c r="E217" s="33">
        <f>IFERROR(__xludf.DUMMYFUNCTION("""COMPUTED_VALUE"""),2200000.0)</f>
        <v>2200000</v>
      </c>
    </row>
    <row r="218">
      <c r="A218" s="31" t="str">
        <f>IFERROR(__xludf.DUMMYFUNCTION("""COMPUTED_VALUE"""),"My Big Fat Greek Wedding 2")</f>
        <v>My Big Fat Greek Wedding 2</v>
      </c>
      <c r="B218" s="32">
        <f>IFERROR(__xludf.DUMMYFUNCTION("""COMPUTED_VALUE"""),42454.0)</f>
        <v>42454</v>
      </c>
      <c r="C218" s="33" t="str">
        <f>IFERROR(__xludf.DUMMYFUNCTION("""COMPUTED_VALUE"""),"Romance")</f>
        <v>Romance</v>
      </c>
      <c r="D218" s="33">
        <f>IFERROR(__xludf.DUMMYFUNCTION("""COMPUTED_VALUE"""),1.8E7)</f>
        <v>18000000</v>
      </c>
      <c r="E218" s="33">
        <f>IFERROR(__xludf.DUMMYFUNCTION("""COMPUTED_VALUE"""),8.89E7)</f>
        <v>88900000</v>
      </c>
    </row>
    <row r="219">
      <c r="A219" s="31" t="str">
        <f>IFERROR(__xludf.DUMMYFUNCTION("""COMPUTED_VALUE"""),"Need for Speed")</f>
        <v>Need for Speed</v>
      </c>
      <c r="B219" s="32">
        <f>IFERROR(__xludf.DUMMYFUNCTION("""COMPUTED_VALUE"""),41710.0)</f>
        <v>41710</v>
      </c>
      <c r="C219" s="33" t="str">
        <f>IFERROR(__xludf.DUMMYFUNCTION("""COMPUTED_VALUE"""),"Action")</f>
        <v>Action</v>
      </c>
      <c r="D219" s="33">
        <f>IFERROR(__xludf.DUMMYFUNCTION("""COMPUTED_VALUE"""),6.5E7)</f>
        <v>65000000</v>
      </c>
      <c r="E219" s="33">
        <f>IFERROR(__xludf.DUMMYFUNCTION("""COMPUTED_VALUE"""),2.033E8)</f>
        <v>203300000</v>
      </c>
    </row>
    <row r="220">
      <c r="A220" s="31" t="str">
        <f>IFERROR(__xludf.DUMMYFUNCTION("""COMPUTED_VALUE"""),"Neighbors")</f>
        <v>Neighbors</v>
      </c>
      <c r="B220" s="32">
        <f>IFERROR(__xludf.DUMMYFUNCTION("""COMPUTED_VALUE"""),41706.0)</f>
        <v>41706</v>
      </c>
      <c r="C220" s="33" t="str">
        <f>IFERROR(__xludf.DUMMYFUNCTION("""COMPUTED_VALUE"""),"Comedy")</f>
        <v>Comedy</v>
      </c>
      <c r="D220" s="33">
        <f>IFERROR(__xludf.DUMMYFUNCTION("""COMPUTED_VALUE"""),1.8E7)</f>
        <v>18000000</v>
      </c>
      <c r="E220" s="33">
        <f>IFERROR(__xludf.DUMMYFUNCTION("""COMPUTED_VALUE"""),2.707E8)</f>
        <v>270700000</v>
      </c>
    </row>
    <row r="221">
      <c r="A221" s="31" t="str">
        <f>IFERROR(__xludf.DUMMYFUNCTION("""COMPUTED_VALUE"""),"Neighbors 2: Sorority Rising")</f>
        <v>Neighbors 2: Sorority Rising</v>
      </c>
      <c r="B221" s="32">
        <f>IFERROR(__xludf.DUMMYFUNCTION("""COMPUTED_VALUE"""),42510.0)</f>
        <v>42510</v>
      </c>
      <c r="C221" s="33" t="str">
        <f>IFERROR(__xludf.DUMMYFUNCTION("""COMPUTED_VALUE"""),"Comedy")</f>
        <v>Comedy</v>
      </c>
      <c r="D221" s="33">
        <f>IFERROR(__xludf.DUMMYFUNCTION("""COMPUTED_VALUE"""),3.5E7)</f>
        <v>35000000</v>
      </c>
      <c r="E221" s="33">
        <f>IFERROR(__xludf.DUMMYFUNCTION("""COMPUTED_VALUE"""),1.079E8)</f>
        <v>107900000</v>
      </c>
    </row>
    <row r="222">
      <c r="A222" s="31" t="str">
        <f>IFERROR(__xludf.DUMMYFUNCTION("""COMPUTED_VALUE"""),"Nerve")</f>
        <v>Nerve</v>
      </c>
      <c r="B222" s="32">
        <f>IFERROR(__xludf.DUMMYFUNCTION("""COMPUTED_VALUE"""),42578.0)</f>
        <v>42578</v>
      </c>
      <c r="C222" s="33" t="str">
        <f>IFERROR(__xludf.DUMMYFUNCTION("""COMPUTED_VALUE"""),"Thriller")</f>
        <v>Thriller</v>
      </c>
      <c r="D222" s="33">
        <f>IFERROR(__xludf.DUMMYFUNCTION("""COMPUTED_VALUE"""),2.0E7)</f>
        <v>20000000</v>
      </c>
      <c r="E222" s="33">
        <f>IFERROR(__xludf.DUMMYFUNCTION("""COMPUTED_VALUE"""),4.76E7)</f>
        <v>47600000</v>
      </c>
    </row>
    <row r="223">
      <c r="A223" s="31" t="str">
        <f>IFERROR(__xludf.DUMMYFUNCTION("""COMPUTED_VALUE"""),"Night at the Museum: Secret of the Tomb")</f>
        <v>Night at the Museum: Secret of the Tomb</v>
      </c>
      <c r="B223" s="32">
        <f>IFERROR(__xludf.DUMMYFUNCTION("""COMPUTED_VALUE"""),41984.0)</f>
        <v>41984</v>
      </c>
      <c r="C223" s="33" t="str">
        <f>IFERROR(__xludf.DUMMYFUNCTION("""COMPUTED_VALUE"""),"Comedy")</f>
        <v>Comedy</v>
      </c>
      <c r="D223" s="33">
        <f>IFERROR(__xludf.DUMMYFUNCTION("""COMPUTED_VALUE"""),1.27E8)</f>
        <v>127000000</v>
      </c>
      <c r="E223" s="33">
        <f>IFERROR(__xludf.DUMMYFUNCTION("""COMPUTED_VALUE"""),3.632E8)</f>
        <v>363200000</v>
      </c>
    </row>
    <row r="224">
      <c r="A224" s="31" t="str">
        <f>IFERROR(__xludf.DUMMYFUNCTION("""COMPUTED_VALUE"""),"Nightcrawler")</f>
        <v>Nightcrawler</v>
      </c>
      <c r="B224" s="32">
        <f>IFERROR(__xludf.DUMMYFUNCTION("""COMPUTED_VALUE"""),41887.0)</f>
        <v>41887</v>
      </c>
      <c r="C224" s="33" t="str">
        <f>IFERROR(__xludf.DUMMYFUNCTION("""COMPUTED_VALUE"""),"Drama")</f>
        <v>Drama</v>
      </c>
      <c r="D224" s="33">
        <f>IFERROR(__xludf.DUMMYFUNCTION("""COMPUTED_VALUE"""),8500000.0)</f>
        <v>8500000</v>
      </c>
      <c r="E224" s="33">
        <f>IFERROR(__xludf.DUMMYFUNCTION("""COMPUTED_VALUE"""),5.03E7)</f>
        <v>50300000</v>
      </c>
    </row>
    <row r="225">
      <c r="A225" s="31" t="str">
        <f>IFERROR(__xludf.DUMMYFUNCTION("""COMPUTED_VALUE"""),"Nine Lives")</f>
        <v>Nine Lives</v>
      </c>
      <c r="B225" s="32">
        <f>IFERROR(__xludf.DUMMYFUNCTION("""COMPUTED_VALUE"""),42587.0)</f>
        <v>42587</v>
      </c>
      <c r="C225" s="33" t="str">
        <f>IFERROR(__xludf.DUMMYFUNCTION("""COMPUTED_VALUE"""),"Comedy")</f>
        <v>Comedy</v>
      </c>
      <c r="D225" s="33">
        <f>IFERROR(__xludf.DUMMYFUNCTION("""COMPUTED_VALUE"""),3.0E7)</f>
        <v>30000000</v>
      </c>
      <c r="E225" s="33">
        <f>IFERROR(__xludf.DUMMYFUNCTION("""COMPUTED_VALUE"""),1.91E7)</f>
        <v>19100000</v>
      </c>
    </row>
    <row r="226">
      <c r="A226" s="31" t="str">
        <f>IFERROR(__xludf.DUMMYFUNCTION("""COMPUTED_VALUE"""),"No Escape")</f>
        <v>No Escape</v>
      </c>
      <c r="B226" s="32">
        <f>IFERROR(__xludf.DUMMYFUNCTION("""COMPUTED_VALUE"""),42233.0)</f>
        <v>42233</v>
      </c>
      <c r="C226" s="33" t="str">
        <f>IFERROR(__xludf.DUMMYFUNCTION("""COMPUTED_VALUE"""),"Action")</f>
        <v>Action</v>
      </c>
      <c r="D226" s="33">
        <f>IFERROR(__xludf.DUMMYFUNCTION("""COMPUTED_VALUE"""),5000000.0)</f>
        <v>5000000</v>
      </c>
      <c r="E226" s="33">
        <f>IFERROR(__xludf.DUMMYFUNCTION("""COMPUTED_VALUE"""),5.44E7)</f>
        <v>54400000</v>
      </c>
    </row>
    <row r="227">
      <c r="A227" s="31" t="str">
        <f>IFERROR(__xludf.DUMMYFUNCTION("""COMPUTED_VALUE"""),"No Good Deed")</f>
        <v>No Good Deed</v>
      </c>
      <c r="B227" s="32">
        <f>IFERROR(__xludf.DUMMYFUNCTION("""COMPUTED_VALUE"""),41894.0)</f>
        <v>41894</v>
      </c>
      <c r="C227" s="33" t="str">
        <f>IFERROR(__xludf.DUMMYFUNCTION("""COMPUTED_VALUE"""),"Crime")</f>
        <v>Crime</v>
      </c>
      <c r="D227" s="33">
        <f>IFERROR(__xludf.DUMMYFUNCTION("""COMPUTED_VALUE"""),1.32E7)</f>
        <v>13200000</v>
      </c>
      <c r="E227" s="33">
        <f>IFERROR(__xludf.DUMMYFUNCTION("""COMPUTED_VALUE"""),5.43E7)</f>
        <v>54300000</v>
      </c>
    </row>
    <row r="228">
      <c r="A228" s="31" t="str">
        <f>IFERROR(__xludf.DUMMYFUNCTION("""COMPUTED_VALUE"""),"No One Lives")</f>
        <v>No One Lives</v>
      </c>
      <c r="B228" s="32">
        <f>IFERROR(__xludf.DUMMYFUNCTION("""COMPUTED_VALUE"""),41404.0)</f>
        <v>41404</v>
      </c>
      <c r="C228" s="33" t="str">
        <f>IFERROR(__xludf.DUMMYFUNCTION("""COMPUTED_VALUE"""),"Horror")</f>
        <v>Horror</v>
      </c>
      <c r="D228" s="33">
        <f>IFERROR(__xludf.DUMMYFUNCTION("""COMPUTED_VALUE"""),2900000.0)</f>
        <v>2900000</v>
      </c>
      <c r="E228" s="33">
        <f>IFERROR(__xludf.DUMMYFUNCTION("""COMPUTED_VALUE"""),1000000.0)</f>
        <v>1000000</v>
      </c>
    </row>
    <row r="229">
      <c r="A229" s="31" t="str">
        <f>IFERROR(__xludf.DUMMYFUNCTION("""COMPUTED_VALUE"""),"Noah")</f>
        <v>Noah</v>
      </c>
      <c r="B229" s="32">
        <f>IFERROR(__xludf.DUMMYFUNCTION("""COMPUTED_VALUE"""),41708.0)</f>
        <v>41708</v>
      </c>
      <c r="C229" s="33" t="str">
        <f>IFERROR(__xludf.DUMMYFUNCTION("""COMPUTED_VALUE"""),"Adventure")</f>
        <v>Adventure</v>
      </c>
      <c r="D229" s="33">
        <f>IFERROR(__xludf.DUMMYFUNCTION("""COMPUTED_VALUE"""),1.25E8)</f>
        <v>125000000</v>
      </c>
      <c r="E229" s="33">
        <f>IFERROR(__xludf.DUMMYFUNCTION("""COMPUTED_VALUE"""),3.626E8)</f>
        <v>362600000</v>
      </c>
    </row>
    <row r="230">
      <c r="A230" s="31" t="str">
        <f>IFERROR(__xludf.DUMMYFUNCTION("""COMPUTED_VALUE"""),"Non-Stop")</f>
        <v>Non-Stop</v>
      </c>
      <c r="B230" s="32">
        <f>IFERROR(__xludf.DUMMYFUNCTION("""COMPUTED_VALUE"""),41666.0)</f>
        <v>41666</v>
      </c>
      <c r="C230" s="33" t="str">
        <f>IFERROR(__xludf.DUMMYFUNCTION("""COMPUTED_VALUE"""),"Thriller")</f>
        <v>Thriller</v>
      </c>
      <c r="D230" s="33">
        <f>IFERROR(__xludf.DUMMYFUNCTION("""COMPUTED_VALUE"""),5.0E7)</f>
        <v>50000000</v>
      </c>
      <c r="E230" s="33">
        <f>IFERROR(__xludf.DUMMYFUNCTION("""COMPUTED_VALUE"""),2.228E8)</f>
        <v>222800000</v>
      </c>
    </row>
    <row r="231">
      <c r="A231" s="31" t="str">
        <f>IFERROR(__xludf.DUMMYFUNCTION("""COMPUTED_VALUE"""),"Now You See Me")</f>
        <v>Now You See Me</v>
      </c>
      <c r="B231" s="32">
        <f>IFERROR(__xludf.DUMMYFUNCTION("""COMPUTED_VALUE"""),41425.0)</f>
        <v>41425</v>
      </c>
      <c r="C231" s="33" t="str">
        <f>IFERROR(__xludf.DUMMYFUNCTION("""COMPUTED_VALUE"""),"Crime")</f>
        <v>Crime</v>
      </c>
      <c r="D231" s="33">
        <f>IFERROR(__xludf.DUMMYFUNCTION("""COMPUTED_VALUE"""),7.5E7)</f>
        <v>75000000</v>
      </c>
      <c r="E231" s="33">
        <f>IFERROR(__xludf.DUMMYFUNCTION("""COMPUTED_VALUE"""),3.517E8)</f>
        <v>351700000</v>
      </c>
    </row>
    <row r="232">
      <c r="A232" s="31" t="str">
        <f>IFERROR(__xludf.DUMMYFUNCTION("""COMPUTED_VALUE"""),"Now You See Me 2")</f>
        <v>Now You See Me 2</v>
      </c>
      <c r="B232" s="32">
        <f>IFERROR(__xludf.DUMMYFUNCTION("""COMPUTED_VALUE"""),42527.0)</f>
        <v>42527</v>
      </c>
      <c r="C232" s="33" t="str">
        <f>IFERROR(__xludf.DUMMYFUNCTION("""COMPUTED_VALUE"""),"Thriller")</f>
        <v>Thriller</v>
      </c>
      <c r="D232" s="33">
        <f>IFERROR(__xludf.DUMMYFUNCTION("""COMPUTED_VALUE"""),9.0E7)</f>
        <v>90000000</v>
      </c>
      <c r="E232" s="33">
        <f>IFERROR(__xludf.DUMMYFUNCTION("""COMPUTED_VALUE"""),3.209E8)</f>
        <v>320900000</v>
      </c>
    </row>
    <row r="233">
      <c r="A233" s="31" t="str">
        <f>IFERROR(__xludf.DUMMYFUNCTION("""COMPUTED_VALUE"""),"Oblivion")</f>
        <v>Oblivion</v>
      </c>
      <c r="B233" s="32">
        <f>IFERROR(__xludf.DUMMYFUNCTION("""COMPUTED_VALUE"""),41374.0)</f>
        <v>41374</v>
      </c>
      <c r="C233" s="33" t="str">
        <f>IFERROR(__xludf.DUMMYFUNCTION("""COMPUTED_VALUE"""),"Action")</f>
        <v>Action</v>
      </c>
      <c r="D233" s="33">
        <f>IFERROR(__xludf.DUMMYFUNCTION("""COMPUTED_VALUE"""),1.2E8)</f>
        <v>120000000</v>
      </c>
      <c r="E233" s="33">
        <f>IFERROR(__xludf.DUMMYFUNCTION("""COMPUTED_VALUE"""),2.862E8)</f>
        <v>286200000</v>
      </c>
    </row>
    <row r="234">
      <c r="A234" s="31" t="str">
        <f>IFERROR(__xludf.DUMMYFUNCTION("""COMPUTED_VALUE"""),"Olympus Has Fallen")</f>
        <v>Olympus Has Fallen</v>
      </c>
      <c r="B234" s="32">
        <f>IFERROR(__xludf.DUMMYFUNCTION("""COMPUTED_VALUE"""),41355.0)</f>
        <v>41355</v>
      </c>
      <c r="C234" s="33" t="str">
        <f>IFERROR(__xludf.DUMMYFUNCTION("""COMPUTED_VALUE"""),"Action")</f>
        <v>Action</v>
      </c>
      <c r="D234" s="33">
        <f>IFERROR(__xludf.DUMMYFUNCTION("""COMPUTED_VALUE"""),7.0E7)</f>
        <v>70000000</v>
      </c>
      <c r="E234" s="33">
        <f>IFERROR(__xludf.DUMMYFUNCTION("""COMPUTED_VALUE"""),1.61E8)</f>
        <v>161000000</v>
      </c>
    </row>
    <row r="235">
      <c r="A235" s="31" t="str">
        <f>IFERROR(__xludf.DUMMYFUNCTION("""COMPUTED_VALUE"""),"One Direction: This Is Us")</f>
        <v>One Direction: This Is Us</v>
      </c>
      <c r="B235" s="32">
        <f>IFERROR(__xludf.DUMMYFUNCTION("""COMPUTED_VALUE"""),41515.0)</f>
        <v>41515</v>
      </c>
      <c r="C235" s="33" t="str">
        <f>IFERROR(__xludf.DUMMYFUNCTION("""COMPUTED_VALUE"""),"Documentary")</f>
        <v>Documentary</v>
      </c>
      <c r="D235" s="33">
        <f>IFERROR(__xludf.DUMMYFUNCTION("""COMPUTED_VALUE"""),1.0E7)</f>
        <v>10000000</v>
      </c>
      <c r="E235" s="33">
        <f>IFERROR(__xludf.DUMMYFUNCTION("""COMPUTED_VALUE"""),6.85E7)</f>
        <v>68500000</v>
      </c>
    </row>
    <row r="236">
      <c r="A236" s="31" t="str">
        <f>IFERROR(__xludf.DUMMYFUNCTION("""COMPUTED_VALUE"""),"One for the Money")</f>
        <v>One for the Money</v>
      </c>
      <c r="B236" s="32">
        <f>IFERROR(__xludf.DUMMYFUNCTION("""COMPUTED_VALUE"""),40935.0)</f>
        <v>40935</v>
      </c>
      <c r="C236" s="33" t="str">
        <f>IFERROR(__xludf.DUMMYFUNCTION("""COMPUTED_VALUE"""),"Crime")</f>
        <v>Crime</v>
      </c>
      <c r="D236" s="33">
        <f>IFERROR(__xludf.DUMMYFUNCTION("""COMPUTED_VALUE"""),4.0E7)</f>
        <v>40000000</v>
      </c>
      <c r="E236" s="33">
        <f>IFERROR(__xludf.DUMMYFUNCTION("""COMPUTED_VALUE"""),3.69E7)</f>
        <v>36900000</v>
      </c>
    </row>
    <row r="237">
      <c r="A237" s="31" t="str">
        <f>IFERROR(__xludf.DUMMYFUNCTION("""COMPUTED_VALUE"""),"Ouija")</f>
        <v>Ouija</v>
      </c>
      <c r="B237" s="32">
        <f>IFERROR(__xludf.DUMMYFUNCTION("""COMPUTED_VALUE"""),41936.0)</f>
        <v>41936</v>
      </c>
      <c r="C237" s="33" t="str">
        <f>IFERROR(__xludf.DUMMYFUNCTION("""COMPUTED_VALUE"""),"Horror")</f>
        <v>Horror</v>
      </c>
      <c r="D237" s="33">
        <f>IFERROR(__xludf.DUMMYFUNCTION("""COMPUTED_VALUE"""),5000000.0)</f>
        <v>5000000</v>
      </c>
      <c r="E237" s="33">
        <f>IFERROR(__xludf.DUMMYFUNCTION("""COMPUTED_VALUE"""),1.036E8)</f>
        <v>103600000</v>
      </c>
    </row>
    <row r="238">
      <c r="A238" s="31" t="str">
        <f>IFERROR(__xludf.DUMMYFUNCTION("""COMPUTED_VALUE"""),"Our Brand Is Crisis")</f>
        <v>Our Brand Is Crisis</v>
      </c>
      <c r="B238" s="32">
        <f>IFERROR(__xludf.DUMMYFUNCTION("""COMPUTED_VALUE"""),42258.0)</f>
        <v>42258</v>
      </c>
      <c r="C238" s="33" t="str">
        <f>IFERROR(__xludf.DUMMYFUNCTION("""COMPUTED_VALUE"""),"Comedy")</f>
        <v>Comedy</v>
      </c>
      <c r="D238" s="33">
        <f>IFERROR(__xludf.DUMMYFUNCTION("""COMPUTED_VALUE"""),2.8E7)</f>
        <v>28000000</v>
      </c>
      <c r="E238" s="33">
        <f>IFERROR(__xludf.DUMMYFUNCTION("""COMPUTED_VALUE"""),8600000.0)</f>
        <v>8600000</v>
      </c>
    </row>
    <row r="239">
      <c r="A239" s="31" t="str">
        <f>IFERROR(__xludf.DUMMYFUNCTION("""COMPUTED_VALUE"""),"Pacific Rim")</f>
        <v>Pacific Rim</v>
      </c>
      <c r="B239" s="32">
        <f>IFERROR(__xludf.DUMMYFUNCTION("""COMPUTED_VALUE"""),41467.0)</f>
        <v>41467</v>
      </c>
      <c r="C239" s="33" t="str">
        <f>IFERROR(__xludf.DUMMYFUNCTION("""COMPUTED_VALUE"""),"Action")</f>
        <v>Action</v>
      </c>
      <c r="D239" s="33">
        <f>IFERROR(__xludf.DUMMYFUNCTION("""COMPUTED_VALUE"""),1.9E8)</f>
        <v>190000000</v>
      </c>
      <c r="E239" s="33">
        <f>IFERROR(__xludf.DUMMYFUNCTION("""COMPUTED_VALUE"""),4.11E8)</f>
        <v>411000000</v>
      </c>
    </row>
    <row r="240">
      <c r="A240" s="31" t="str">
        <f>IFERROR(__xludf.DUMMYFUNCTION("""COMPUTED_VALUE"""),"Pain &amp; Gain")</f>
        <v>Pain &amp; Gain</v>
      </c>
      <c r="B240" s="32">
        <f>IFERROR(__xludf.DUMMYFUNCTION("""COMPUTED_VALUE"""),41390.0)</f>
        <v>41390</v>
      </c>
      <c r="C240" s="33" t="str">
        <f>IFERROR(__xludf.DUMMYFUNCTION("""COMPUTED_VALUE"""),"Action")</f>
        <v>Action</v>
      </c>
      <c r="D240" s="33">
        <f>IFERROR(__xludf.DUMMYFUNCTION("""COMPUTED_VALUE"""),2.6E7)</f>
        <v>26000000</v>
      </c>
      <c r="E240" s="33">
        <f>IFERROR(__xludf.DUMMYFUNCTION("""COMPUTED_VALUE"""),8.62E7)</f>
        <v>86200000</v>
      </c>
    </row>
    <row r="241">
      <c r="A241" s="31" t="str">
        <f>IFERROR(__xludf.DUMMYFUNCTION("""COMPUTED_VALUE"""),"Pan")</f>
        <v>Pan</v>
      </c>
      <c r="B241" s="32">
        <f>IFERROR(__xludf.DUMMYFUNCTION("""COMPUTED_VALUE"""),42277.0)</f>
        <v>42277</v>
      </c>
      <c r="C241" s="33" t="str">
        <f>IFERROR(__xludf.DUMMYFUNCTION("""COMPUTED_VALUE"""),"Fantasy")</f>
        <v>Fantasy</v>
      </c>
      <c r="D241" s="33">
        <f>IFERROR(__xludf.DUMMYFUNCTION("""COMPUTED_VALUE"""),1.5E8)</f>
        <v>150000000</v>
      </c>
      <c r="E241" s="33">
        <f>IFERROR(__xludf.DUMMYFUNCTION("""COMPUTED_VALUE"""),1.284E8)</f>
        <v>128400000</v>
      </c>
    </row>
    <row r="242">
      <c r="A242" s="31" t="str">
        <f>IFERROR(__xludf.DUMMYFUNCTION("""COMPUTED_VALUE"""),"Paper Towns")</f>
        <v>Paper Towns</v>
      </c>
      <c r="B242" s="32">
        <f>IFERROR(__xludf.DUMMYFUNCTION("""COMPUTED_VALUE"""),42209.0)</f>
        <v>42209</v>
      </c>
      <c r="C242" s="33" t="str">
        <f>IFERROR(__xludf.DUMMYFUNCTION("""COMPUTED_VALUE"""),"Romance")</f>
        <v>Romance</v>
      </c>
      <c r="D242" s="33">
        <f>IFERROR(__xludf.DUMMYFUNCTION("""COMPUTED_VALUE"""),1.2E7)</f>
        <v>12000000</v>
      </c>
      <c r="E242" s="33">
        <f>IFERROR(__xludf.DUMMYFUNCTION("""COMPUTED_VALUE"""),8.55E7)</f>
        <v>85500000</v>
      </c>
    </row>
    <row r="243">
      <c r="A243" s="31" t="str">
        <f>IFERROR(__xludf.DUMMYFUNCTION("""COMPUTED_VALUE"""),"Paranormal Activity 4")</f>
        <v>Paranormal Activity 4</v>
      </c>
      <c r="B243" s="32">
        <f>IFERROR(__xludf.DUMMYFUNCTION("""COMPUTED_VALUE"""),41201.0)</f>
        <v>41201</v>
      </c>
      <c r="C243" s="33" t="str">
        <f>IFERROR(__xludf.DUMMYFUNCTION("""COMPUTED_VALUE"""),"Thriller")</f>
        <v>Thriller</v>
      </c>
      <c r="D243" s="33">
        <f>IFERROR(__xludf.DUMMYFUNCTION("""COMPUTED_VALUE"""),5000000.0)</f>
        <v>5000000</v>
      </c>
      <c r="E243" s="33">
        <f>IFERROR(__xludf.DUMMYFUNCTION("""COMPUTED_VALUE"""),1.428E8)</f>
        <v>142800000</v>
      </c>
    </row>
    <row r="244">
      <c r="A244" s="31" t="str">
        <f>IFERROR(__xludf.DUMMYFUNCTION("""COMPUTED_VALUE"""),"Paranormal Activity: The Ghost Dimension")</f>
        <v>Paranormal Activity: The Ghost Dimension</v>
      </c>
      <c r="B244" s="32">
        <f>IFERROR(__xludf.DUMMYFUNCTION("""COMPUTED_VALUE"""),42300.0)</f>
        <v>42300</v>
      </c>
      <c r="C244" s="33" t="str">
        <f>IFERROR(__xludf.DUMMYFUNCTION("""COMPUTED_VALUE"""),"Horror")</f>
        <v>Horror</v>
      </c>
      <c r="D244" s="33">
        <f>IFERROR(__xludf.DUMMYFUNCTION("""COMPUTED_VALUE"""),1.0E7)</f>
        <v>10000000</v>
      </c>
      <c r="E244" s="33">
        <f>IFERROR(__xludf.DUMMYFUNCTION("""COMPUTED_VALUE"""),7.81E7)</f>
        <v>78100000</v>
      </c>
    </row>
    <row r="245">
      <c r="A245" s="31" t="str">
        <f>IFERROR(__xludf.DUMMYFUNCTION("""COMPUTED_VALUE"""),"ParaNorman")</f>
        <v>ParaNorman</v>
      </c>
      <c r="B245" s="32">
        <f>IFERROR(__xludf.DUMMYFUNCTION("""COMPUTED_VALUE"""),41138.0)</f>
        <v>41138</v>
      </c>
      <c r="C245" s="33" t="str">
        <f>IFERROR(__xludf.DUMMYFUNCTION("""COMPUTED_VALUE"""),"Fantasy")</f>
        <v>Fantasy</v>
      </c>
      <c r="D245" s="33">
        <f>IFERROR(__xludf.DUMMYFUNCTION("""COMPUTED_VALUE"""),6.0E7)</f>
        <v>60000000</v>
      </c>
      <c r="E245" s="33">
        <f>IFERROR(__xludf.DUMMYFUNCTION("""COMPUTED_VALUE"""),1.071E8)</f>
        <v>107100000</v>
      </c>
    </row>
    <row r="246">
      <c r="A246" s="31" t="str">
        <f>IFERROR(__xludf.DUMMYFUNCTION("""COMPUTED_VALUE"""),"Parental Guidance")</f>
        <v>Parental Guidance</v>
      </c>
      <c r="B246" s="32">
        <f>IFERROR(__xludf.DUMMYFUNCTION("""COMPUTED_VALUE"""),41268.0)</f>
        <v>41268</v>
      </c>
      <c r="C246" s="33" t="str">
        <f>IFERROR(__xludf.DUMMYFUNCTION("""COMPUTED_VALUE"""),"Comedy")</f>
        <v>Comedy</v>
      </c>
      <c r="D246" s="33">
        <f>IFERROR(__xludf.DUMMYFUNCTION("""COMPUTED_VALUE"""),2.5E7)</f>
        <v>25000000</v>
      </c>
      <c r="E246" s="33">
        <f>IFERROR(__xludf.DUMMYFUNCTION("""COMPUTED_VALUE"""),1.198E8)</f>
        <v>119800000</v>
      </c>
    </row>
    <row r="247">
      <c r="A247" s="31" t="str">
        <f>IFERROR(__xludf.DUMMYFUNCTION("""COMPUTED_VALUE"""),"Parker")</f>
        <v>Parker</v>
      </c>
      <c r="B247" s="32">
        <f>IFERROR(__xludf.DUMMYFUNCTION("""COMPUTED_VALUE"""),41299.0)</f>
        <v>41299</v>
      </c>
      <c r="C247" s="33" t="str">
        <f>IFERROR(__xludf.DUMMYFUNCTION("""COMPUTED_VALUE"""),"Crime")</f>
        <v>Crime</v>
      </c>
      <c r="D247" s="33">
        <f>IFERROR(__xludf.DUMMYFUNCTION("""COMPUTED_VALUE"""),3.5E7)</f>
        <v>35000000</v>
      </c>
      <c r="E247" s="33">
        <f>IFERROR(__xludf.DUMMYFUNCTION("""COMPUTED_VALUE"""),4.85E7)</f>
        <v>48500000</v>
      </c>
    </row>
    <row r="248">
      <c r="A248" s="31" t="str">
        <f>IFERROR(__xludf.DUMMYFUNCTION("""COMPUTED_VALUE"""),"Paul Blart: Mall Cop 2")</f>
        <v>Paul Blart: Mall Cop 2</v>
      </c>
      <c r="B248" s="32">
        <f>IFERROR(__xludf.DUMMYFUNCTION("""COMPUTED_VALUE"""),42111.0)</f>
        <v>42111</v>
      </c>
      <c r="C248" s="33" t="str">
        <f>IFERROR(__xludf.DUMMYFUNCTION("""COMPUTED_VALUE"""),"Action")</f>
        <v>Action</v>
      </c>
      <c r="D248" s="33">
        <f>IFERROR(__xludf.DUMMYFUNCTION("""COMPUTED_VALUE"""),4.0E7)</f>
        <v>40000000</v>
      </c>
      <c r="E248" s="33">
        <f>IFERROR(__xludf.DUMMYFUNCTION("""COMPUTED_VALUE"""),1.076E8)</f>
        <v>107600000</v>
      </c>
    </row>
    <row r="249">
      <c r="A249" s="31" t="str">
        <f>IFERROR(__xludf.DUMMYFUNCTION("""COMPUTED_VALUE"""),"Pawn Sacrifice")</f>
        <v>Pawn Sacrifice</v>
      </c>
      <c r="B249" s="32">
        <f>IFERROR(__xludf.DUMMYFUNCTION("""COMPUTED_VALUE"""),42258.0)</f>
        <v>42258</v>
      </c>
      <c r="C249" s="33" t="str">
        <f>IFERROR(__xludf.DUMMYFUNCTION("""COMPUTED_VALUE"""),"Biography")</f>
        <v>Biography</v>
      </c>
      <c r="D249" s="33">
        <f>IFERROR(__xludf.DUMMYFUNCTION("""COMPUTED_VALUE"""),1.9E7)</f>
        <v>19000000</v>
      </c>
      <c r="E249" s="33">
        <f>IFERROR(__xludf.DUMMYFUNCTION("""COMPUTED_VALUE"""),5400000.0)</f>
        <v>5400000</v>
      </c>
    </row>
    <row r="250">
      <c r="A250" s="31" t="str">
        <f>IFERROR(__xludf.DUMMYFUNCTION("""COMPUTED_VALUE"""),"Penguins of Madagascar")</f>
        <v>Penguins of Madagascar</v>
      </c>
      <c r="B250" s="32">
        <f>IFERROR(__xludf.DUMMYFUNCTION("""COMPUTED_VALUE"""),41957.0)</f>
        <v>41957</v>
      </c>
      <c r="C250" s="33" t="str">
        <f>IFERROR(__xludf.DUMMYFUNCTION("""COMPUTED_VALUE"""),"Family")</f>
        <v>Family</v>
      </c>
      <c r="D250" s="33">
        <f>IFERROR(__xludf.DUMMYFUNCTION("""COMPUTED_VALUE"""),1.32E8)</f>
        <v>132000000</v>
      </c>
      <c r="E250" s="33">
        <f>IFERROR(__xludf.DUMMYFUNCTION("""COMPUTED_VALUE"""),3.73E8)</f>
        <v>373000000</v>
      </c>
    </row>
    <row r="251">
      <c r="A251" s="31" t="str">
        <f>IFERROR(__xludf.DUMMYFUNCTION("""COMPUTED_VALUE"""),"People Like Us")</f>
        <v>People Like Us</v>
      </c>
      <c r="B251" s="32">
        <f>IFERROR(__xludf.DUMMYFUNCTION("""COMPUTED_VALUE"""),41089.0)</f>
        <v>41089</v>
      </c>
      <c r="C251" s="33" t="str">
        <f>IFERROR(__xludf.DUMMYFUNCTION("""COMPUTED_VALUE"""),"Drama")</f>
        <v>Drama</v>
      </c>
      <c r="D251" s="33">
        <f>IFERROR(__xludf.DUMMYFUNCTION("""COMPUTED_VALUE"""),1.6E7)</f>
        <v>16000000</v>
      </c>
      <c r="E251" s="33">
        <f>IFERROR(__xludf.DUMMYFUNCTION("""COMPUTED_VALUE"""),1.24E7)</f>
        <v>12400000</v>
      </c>
    </row>
    <row r="252">
      <c r="A252" s="31" t="str">
        <f>IFERROR(__xludf.DUMMYFUNCTION("""COMPUTED_VALUE"""),"Percy Jackson: Sea of Monsters")</f>
        <v>Percy Jackson: Sea of Monsters</v>
      </c>
      <c r="B252" s="32">
        <f>IFERROR(__xludf.DUMMYFUNCTION("""COMPUTED_VALUE"""),41493.0)</f>
        <v>41493</v>
      </c>
      <c r="C252" s="33" t="str">
        <f>IFERROR(__xludf.DUMMYFUNCTION("""COMPUTED_VALUE"""),"Adventure")</f>
        <v>Adventure</v>
      </c>
      <c r="D252" s="33">
        <f>IFERROR(__xludf.DUMMYFUNCTION("""COMPUTED_VALUE"""),9.0E7)</f>
        <v>90000000</v>
      </c>
      <c r="E252" s="33">
        <f>IFERROR(__xludf.DUMMYFUNCTION("""COMPUTED_VALUE"""),2.022E8)</f>
        <v>202200000</v>
      </c>
    </row>
    <row r="253">
      <c r="A253" s="31" t="str">
        <f>IFERROR(__xludf.DUMMYFUNCTION("""COMPUTED_VALUE"""),"Pitch Perfect")</f>
        <v>Pitch Perfect</v>
      </c>
      <c r="B253" s="32">
        <f>IFERROR(__xludf.DUMMYFUNCTION("""COMPUTED_VALUE"""),41187.0)</f>
        <v>41187</v>
      </c>
      <c r="C253" s="33" t="str">
        <f>IFERROR(__xludf.DUMMYFUNCTION("""COMPUTED_VALUE"""),"Comedy")</f>
        <v>Comedy</v>
      </c>
      <c r="D253" s="33">
        <f>IFERROR(__xludf.DUMMYFUNCTION("""COMPUTED_VALUE"""),1.7E7)</f>
        <v>17000000</v>
      </c>
      <c r="E253" s="33">
        <f>IFERROR(__xludf.DUMMYFUNCTION("""COMPUTED_VALUE"""),1.154E8)</f>
        <v>115400000</v>
      </c>
    </row>
    <row r="254">
      <c r="A254" s="31" t="str">
        <f>IFERROR(__xludf.DUMMYFUNCTION("""COMPUTED_VALUE"""),"Pitch Perfect 2")</f>
        <v>Pitch Perfect 2</v>
      </c>
      <c r="B254" s="32">
        <f>IFERROR(__xludf.DUMMYFUNCTION("""COMPUTED_VALUE"""),42114.0)</f>
        <v>42114</v>
      </c>
      <c r="C254" s="33" t="str">
        <f>IFERROR(__xludf.DUMMYFUNCTION("""COMPUTED_VALUE"""),"Comedy")</f>
        <v>Comedy</v>
      </c>
      <c r="D254" s="33">
        <f>IFERROR(__xludf.DUMMYFUNCTION("""COMPUTED_VALUE"""),2.9E7)</f>
        <v>29000000</v>
      </c>
      <c r="E254" s="33">
        <f>IFERROR(__xludf.DUMMYFUNCTION("""COMPUTED_VALUE"""),2.871E8)</f>
        <v>287100000</v>
      </c>
    </row>
    <row r="255">
      <c r="A255" s="31" t="str">
        <f>IFERROR(__xludf.DUMMYFUNCTION("""COMPUTED_VALUE"""),"Pixels")</f>
        <v>Pixels</v>
      </c>
      <c r="B255" s="32">
        <f>IFERROR(__xludf.DUMMYFUNCTION("""COMPUTED_VALUE"""),42209.0)</f>
        <v>42209</v>
      </c>
      <c r="C255" s="33" t="str">
        <f>IFERROR(__xludf.DUMMYFUNCTION("""COMPUTED_VALUE"""),"Comedy")</f>
        <v>Comedy</v>
      </c>
      <c r="D255" s="33">
        <f>IFERROR(__xludf.DUMMYFUNCTION("""COMPUTED_VALUE"""),1.29E8)</f>
        <v>129000000</v>
      </c>
      <c r="E255" s="33">
        <f>IFERROR(__xludf.DUMMYFUNCTION("""COMPUTED_VALUE"""),2.449E8)</f>
        <v>244900000</v>
      </c>
    </row>
    <row r="256">
      <c r="A256" s="31" t="str">
        <f>IFERROR(__xludf.DUMMYFUNCTION("""COMPUTED_VALUE"""),"Point Break")</f>
        <v>Point Break</v>
      </c>
      <c r="B256" s="32">
        <f>IFERROR(__xludf.DUMMYFUNCTION("""COMPUTED_VALUE"""),42363.0)</f>
        <v>42363</v>
      </c>
      <c r="C256" s="33" t="str">
        <f>IFERROR(__xludf.DUMMYFUNCTION("""COMPUTED_VALUE"""),"Action")</f>
        <v>Action</v>
      </c>
      <c r="D256" s="33">
        <f>IFERROR(__xludf.DUMMYFUNCTION("""COMPUTED_VALUE"""),1.05E8)</f>
        <v>105000000</v>
      </c>
      <c r="E256" s="33">
        <f>IFERROR(__xludf.DUMMYFUNCTION("""COMPUTED_VALUE"""),1.3369999999999999E8)</f>
        <v>133700000</v>
      </c>
    </row>
    <row r="257">
      <c r="A257" s="31" t="str">
        <f>IFERROR(__xludf.DUMMYFUNCTION("""COMPUTED_VALUE"""),"Polis Evo")</f>
        <v>Polis Evo</v>
      </c>
      <c r="B257" s="32">
        <f>IFERROR(__xludf.DUMMYFUNCTION("""COMPUTED_VALUE"""),42264.0)</f>
        <v>42264</v>
      </c>
      <c r="C257" s="33" t="str">
        <f>IFERROR(__xludf.DUMMYFUNCTION("""COMPUTED_VALUE"""),"Action")</f>
        <v>Action</v>
      </c>
      <c r="D257" s="33">
        <f>IFERROR(__xludf.DUMMYFUNCTION("""COMPUTED_VALUE"""),2400000.0)</f>
        <v>2400000</v>
      </c>
      <c r="E257" s="33">
        <f>IFERROR(__xludf.DUMMYFUNCTION("""COMPUTED_VALUE"""),1.73E7)</f>
        <v>17300000</v>
      </c>
    </row>
    <row r="258">
      <c r="A258" s="31" t="str">
        <f>IFERROR(__xludf.DUMMYFUNCTION("""COMPUTED_VALUE"""),"Poltergeist")</f>
        <v>Poltergeist</v>
      </c>
      <c r="B258" s="32">
        <f>IFERROR(__xludf.DUMMYFUNCTION("""COMPUTED_VALUE"""),42146.0)</f>
        <v>42146</v>
      </c>
      <c r="C258" s="33" t="str">
        <f>IFERROR(__xludf.DUMMYFUNCTION("""COMPUTED_VALUE"""),"Horror")</f>
        <v>Horror</v>
      </c>
      <c r="D258" s="33">
        <f>IFERROR(__xludf.DUMMYFUNCTION("""COMPUTED_VALUE"""),3.5E7)</f>
        <v>35000000</v>
      </c>
      <c r="E258" s="33">
        <f>IFERROR(__xludf.DUMMYFUNCTION("""COMPUTED_VALUE"""),9.54E7)</f>
        <v>95400000</v>
      </c>
    </row>
    <row r="259">
      <c r="A259" s="31" t="str">
        <f>IFERROR(__xludf.DUMMYFUNCTION("""COMPUTED_VALUE"""),"Pompeii")</f>
        <v>Pompeii</v>
      </c>
      <c r="B259" s="32">
        <f>IFERROR(__xludf.DUMMYFUNCTION("""COMPUTED_VALUE"""),41688.0)</f>
        <v>41688</v>
      </c>
      <c r="C259" s="33" t="str">
        <f>IFERROR(__xludf.DUMMYFUNCTION("""COMPUTED_VALUE"""),"Action")</f>
        <v>Action</v>
      </c>
      <c r="D259" s="33">
        <f>IFERROR(__xludf.DUMMYFUNCTION("""COMPUTED_VALUE"""),8.0E7)</f>
        <v>80000000</v>
      </c>
      <c r="E259" s="33">
        <f>IFERROR(__xludf.DUMMYFUNCTION("""COMPUTED_VALUE"""),1.178E8)</f>
        <v>117800000</v>
      </c>
    </row>
    <row r="260">
      <c r="A260" s="31" t="str">
        <f>IFERROR(__xludf.DUMMYFUNCTION("""COMPUTED_VALUE"""),"Popstar: Never Stop Never Stopping")</f>
        <v>Popstar: Never Stop Never Stopping</v>
      </c>
      <c r="B260" s="32">
        <f>IFERROR(__xludf.DUMMYFUNCTION("""COMPUTED_VALUE"""),42524.0)</f>
        <v>42524</v>
      </c>
      <c r="C260" s="33" t="str">
        <f>IFERROR(__xludf.DUMMYFUNCTION("""COMPUTED_VALUE"""),"Comedy")</f>
        <v>Comedy</v>
      </c>
      <c r="D260" s="33">
        <f>IFERROR(__xludf.DUMMYFUNCTION("""COMPUTED_VALUE"""),2.0E7)</f>
        <v>20000000</v>
      </c>
      <c r="E260" s="33">
        <f>IFERROR(__xludf.DUMMYFUNCTION("""COMPUTED_VALUE"""),9500000.0)</f>
        <v>9500000</v>
      </c>
    </row>
    <row r="261">
      <c r="A261" s="31" t="str">
        <f>IFERROR(__xludf.DUMMYFUNCTION("""COMPUTED_VALUE"""),"Premium Rush")</f>
        <v>Premium Rush</v>
      </c>
      <c r="B261" s="32">
        <f>IFERROR(__xludf.DUMMYFUNCTION("""COMPUTED_VALUE"""),41145.0)</f>
        <v>41145</v>
      </c>
      <c r="C261" s="33" t="str">
        <f>IFERROR(__xludf.DUMMYFUNCTION("""COMPUTED_VALUE"""),"Action")</f>
        <v>Action</v>
      </c>
      <c r="D261" s="33">
        <f>IFERROR(__xludf.DUMMYFUNCTION("""COMPUTED_VALUE"""),3.5E7)</f>
        <v>35000000</v>
      </c>
      <c r="E261" s="33">
        <f>IFERROR(__xludf.DUMMYFUNCTION("""COMPUTED_VALUE"""),3.11E7)</f>
        <v>31100000</v>
      </c>
    </row>
    <row r="262">
      <c r="A262" s="31" t="str">
        <f>IFERROR(__xludf.DUMMYFUNCTION("""COMPUTED_VALUE"""),"Pride and Prejudice and Zombies")</f>
        <v>Pride and Prejudice and Zombies</v>
      </c>
      <c r="B262" s="32">
        <f>IFERROR(__xludf.DUMMYFUNCTION("""COMPUTED_VALUE"""),42405.0)</f>
        <v>42405</v>
      </c>
      <c r="C262" s="33" t="str">
        <f>IFERROR(__xludf.DUMMYFUNCTION("""COMPUTED_VALUE"""),"Comedy")</f>
        <v>Comedy</v>
      </c>
      <c r="D262" s="33">
        <f>IFERROR(__xludf.DUMMYFUNCTION("""COMPUTED_VALUE"""),2.8E7)</f>
        <v>28000000</v>
      </c>
      <c r="E262" s="33">
        <f>IFERROR(__xludf.DUMMYFUNCTION("""COMPUTED_VALUE"""),1.6399999999999998E7)</f>
        <v>16400000</v>
      </c>
    </row>
    <row r="263">
      <c r="A263" s="31" t="str">
        <f>IFERROR(__xludf.DUMMYFUNCTION("""COMPUTED_VALUE"""),"Prisoners")</f>
        <v>Prisoners</v>
      </c>
      <c r="B263" s="32">
        <f>IFERROR(__xludf.DUMMYFUNCTION("""COMPUTED_VALUE"""),41537.0)</f>
        <v>41537</v>
      </c>
      <c r="C263" s="33" t="str">
        <f>IFERROR(__xludf.DUMMYFUNCTION("""COMPUTED_VALUE"""),"Crime")</f>
        <v>Crime</v>
      </c>
      <c r="D263" s="33">
        <f>IFERROR(__xludf.DUMMYFUNCTION("""COMPUTED_VALUE"""),4.6E7)</f>
        <v>46000000</v>
      </c>
      <c r="E263" s="33">
        <f>IFERROR(__xludf.DUMMYFUNCTION("""COMPUTED_VALUE"""),1.221E8)</f>
        <v>122100000</v>
      </c>
    </row>
    <row r="264">
      <c r="A264" s="31" t="str">
        <f>IFERROR(__xludf.DUMMYFUNCTION("""COMPUTED_VALUE"""),"Project Almanac")</f>
        <v>Project Almanac</v>
      </c>
      <c r="B264" s="32">
        <f>IFERROR(__xludf.DUMMYFUNCTION("""COMPUTED_VALUE"""),42034.0)</f>
        <v>42034</v>
      </c>
      <c r="C264" s="33" t="str">
        <f>IFERROR(__xludf.DUMMYFUNCTION("""COMPUTED_VALUE"""),"Sci-Fi")</f>
        <v>Sci-Fi</v>
      </c>
      <c r="D264" s="33">
        <f>IFERROR(__xludf.DUMMYFUNCTION("""COMPUTED_VALUE"""),1.2E7)</f>
        <v>12000000</v>
      </c>
      <c r="E264" s="33">
        <f>IFERROR(__xludf.DUMMYFUNCTION("""COMPUTED_VALUE"""),3.3200000000000004E7)</f>
        <v>33200000</v>
      </c>
    </row>
    <row r="265">
      <c r="A265" s="31" t="str">
        <f>IFERROR(__xludf.DUMMYFUNCTION("""COMPUTED_VALUE"""),"Project X")</f>
        <v>Project X</v>
      </c>
      <c r="B265" s="32">
        <f>IFERROR(__xludf.DUMMYFUNCTION("""COMPUTED_VALUE"""),40970.0)</f>
        <v>40970</v>
      </c>
      <c r="C265" s="33" t="str">
        <f>IFERROR(__xludf.DUMMYFUNCTION("""COMPUTED_VALUE"""),"Comedy")</f>
        <v>Comedy</v>
      </c>
      <c r="D265" s="33">
        <f>IFERROR(__xludf.DUMMYFUNCTION("""COMPUTED_VALUE"""),1.2E7)</f>
        <v>12000000</v>
      </c>
      <c r="E265" s="33">
        <f>IFERROR(__xludf.DUMMYFUNCTION("""COMPUTED_VALUE"""),1.027E8)</f>
        <v>102700000</v>
      </c>
    </row>
    <row r="266">
      <c r="A266" s="31" t="str">
        <f>IFERROR(__xludf.DUMMYFUNCTION("""COMPUTED_VALUE"""),"Prometheus")</f>
        <v>Prometheus</v>
      </c>
      <c r="B266" s="32">
        <f>IFERROR(__xludf.DUMMYFUNCTION("""COMPUTED_VALUE"""),41068.0)</f>
        <v>41068</v>
      </c>
      <c r="C266" s="33" t="str">
        <f>IFERROR(__xludf.DUMMYFUNCTION("""COMPUTED_VALUE"""),"Sci-Fi")</f>
        <v>Sci-Fi</v>
      </c>
      <c r="D266" s="33">
        <f>IFERROR(__xludf.DUMMYFUNCTION("""COMPUTED_VALUE"""),1.3E8)</f>
        <v>130000000</v>
      </c>
      <c r="E266" s="33">
        <f>IFERROR(__xludf.DUMMYFUNCTION("""COMPUTED_VALUE"""),4.034E8)</f>
        <v>403400000</v>
      </c>
    </row>
    <row r="267">
      <c r="A267" s="31" t="str">
        <f>IFERROR(__xludf.DUMMYFUNCTION("""COMPUTED_VALUE"""),"Promised Land")</f>
        <v>Promised Land</v>
      </c>
      <c r="B267" s="32">
        <f>IFERROR(__xludf.DUMMYFUNCTION("""COMPUTED_VALUE"""),41271.0)</f>
        <v>41271</v>
      </c>
      <c r="C267" s="33" t="str">
        <f>IFERROR(__xludf.DUMMYFUNCTION("""COMPUTED_VALUE"""),"Drama")</f>
        <v>Drama</v>
      </c>
      <c r="D267" s="33">
        <f>IFERROR(__xludf.DUMMYFUNCTION("""COMPUTED_VALUE"""),1.5E7)</f>
        <v>15000000</v>
      </c>
      <c r="E267" s="33">
        <f>IFERROR(__xludf.DUMMYFUNCTION("""COMPUTED_VALUE"""),8100000.0)</f>
        <v>8100000</v>
      </c>
    </row>
    <row r="268">
      <c r="A268" s="31" t="str">
        <f>IFERROR(__xludf.DUMMYFUNCTION("""COMPUTED_VALUE"""),"R.I.P.D.")</f>
        <v>R.I.P.D.</v>
      </c>
      <c r="B268" s="32">
        <f>IFERROR(__xludf.DUMMYFUNCTION("""COMPUTED_VALUE"""),41474.0)</f>
        <v>41474</v>
      </c>
      <c r="C268" s="33" t="str">
        <f>IFERROR(__xludf.DUMMYFUNCTION("""COMPUTED_VALUE"""),"Action")</f>
        <v>Action</v>
      </c>
      <c r="D268" s="33">
        <f>IFERROR(__xludf.DUMMYFUNCTION("""COMPUTED_VALUE"""),1.3E8)</f>
        <v>130000000</v>
      </c>
      <c r="E268" s="33">
        <f>IFERROR(__xludf.DUMMYFUNCTION("""COMPUTED_VALUE"""),7.83E7)</f>
        <v>78300000</v>
      </c>
    </row>
    <row r="269">
      <c r="A269" s="31" t="str">
        <f>IFERROR(__xludf.DUMMYFUNCTION("""COMPUTED_VALUE"""),"Race")</f>
        <v>Race</v>
      </c>
      <c r="B269" s="32">
        <f>IFERROR(__xludf.DUMMYFUNCTION("""COMPUTED_VALUE"""),42419.0)</f>
        <v>42419</v>
      </c>
      <c r="C269" s="33" t="str">
        <f>IFERROR(__xludf.DUMMYFUNCTION("""COMPUTED_VALUE"""),"Drama")</f>
        <v>Drama</v>
      </c>
      <c r="D269" s="33">
        <f>IFERROR(__xludf.DUMMYFUNCTION("""COMPUTED_VALUE"""),5000000.0)</f>
        <v>5000000</v>
      </c>
      <c r="E269" s="33">
        <f>IFERROR(__xludf.DUMMYFUNCTION("""COMPUTED_VALUE"""),2.35E7)</f>
        <v>23500000</v>
      </c>
    </row>
    <row r="270">
      <c r="A270" s="31" t="str">
        <f>IFERROR(__xludf.DUMMYFUNCTION("""COMPUTED_VALUE"""),"Raiders of the Lost Ark: The IMAX Experience")</f>
        <v>Raiders of the Lost Ark: The IMAX Experience</v>
      </c>
      <c r="B270" s="32">
        <f>IFERROR(__xludf.DUMMYFUNCTION("""COMPUTED_VALUE"""),41159.0)</f>
        <v>41159</v>
      </c>
      <c r="C270" s="33" t="str">
        <f>IFERROR(__xludf.DUMMYFUNCTION("""COMPUTED_VALUE"""),"Action")</f>
        <v>Action</v>
      </c>
      <c r="D270" s="33">
        <f>IFERROR(__xludf.DUMMYFUNCTION("""COMPUTED_VALUE"""),1.8E7)</f>
        <v>18000000</v>
      </c>
      <c r="E270" s="33">
        <f>IFERROR(__xludf.DUMMYFUNCTION("""COMPUTED_VALUE"""),3.899E8)</f>
        <v>389900000</v>
      </c>
    </row>
    <row r="271">
      <c r="A271" s="31" t="str">
        <f>IFERROR(__xludf.DUMMYFUNCTION("""COMPUTED_VALUE"""),"Rams")</f>
        <v>Rams</v>
      </c>
      <c r="B271" s="32">
        <f>IFERROR(__xludf.DUMMYFUNCTION("""COMPUTED_VALUE"""),42139.0)</f>
        <v>42139</v>
      </c>
      <c r="C271" s="33" t="str">
        <f>IFERROR(__xludf.DUMMYFUNCTION("""COMPUTED_VALUE"""),"Drama")</f>
        <v>Drama</v>
      </c>
      <c r="D271" s="33">
        <f>IFERROR(__xludf.DUMMYFUNCTION("""COMPUTED_VALUE"""),1750000.0)</f>
        <v>1750000</v>
      </c>
      <c r="E271" s="33">
        <f>IFERROR(__xludf.DUMMYFUNCTION("""COMPUTED_VALUE"""),1740000.0)</f>
        <v>1740000</v>
      </c>
    </row>
    <row r="272">
      <c r="A272" s="31" t="str">
        <f>IFERROR(__xludf.DUMMYFUNCTION("""COMPUTED_VALUE"""),"Ratchet &amp; Clank")</f>
        <v>Ratchet &amp; Clank</v>
      </c>
      <c r="B272" s="32">
        <f>IFERROR(__xludf.DUMMYFUNCTION("""COMPUTED_VALUE"""),42489.0)</f>
        <v>42489</v>
      </c>
      <c r="C272" s="33" t="str">
        <f>IFERROR(__xludf.DUMMYFUNCTION("""COMPUTED_VALUE"""),"Sci-Fi")</f>
        <v>Sci-Fi</v>
      </c>
      <c r="D272" s="33">
        <f>IFERROR(__xludf.DUMMYFUNCTION("""COMPUTED_VALUE"""),2.0E7)</f>
        <v>20000000</v>
      </c>
      <c r="E272" s="33">
        <f>IFERROR(__xludf.DUMMYFUNCTION("""COMPUTED_VALUE"""),1.28E7)</f>
        <v>12800000</v>
      </c>
    </row>
    <row r="273">
      <c r="A273" s="31" t="str">
        <f>IFERROR(__xludf.DUMMYFUNCTION("""COMPUTED_VALUE"""),"RED 2")</f>
        <v>RED 2</v>
      </c>
      <c r="B273" s="32">
        <f>IFERROR(__xludf.DUMMYFUNCTION("""COMPUTED_VALUE"""),41474.0)</f>
        <v>41474</v>
      </c>
      <c r="C273" s="33" t="str">
        <f>IFERROR(__xludf.DUMMYFUNCTION("""COMPUTED_VALUE"""),"Action")</f>
        <v>Action</v>
      </c>
      <c r="D273" s="33">
        <f>IFERROR(__xludf.DUMMYFUNCTION("""COMPUTED_VALUE"""),8.4E7)</f>
        <v>84000000</v>
      </c>
      <c r="E273" s="33">
        <f>IFERROR(__xludf.DUMMYFUNCTION("""COMPUTED_VALUE"""),1.481E8)</f>
        <v>148100000</v>
      </c>
    </row>
    <row r="274">
      <c r="A274" s="31" t="str">
        <f>IFERROR(__xludf.DUMMYFUNCTION("""COMPUTED_VALUE"""),"Red Dawn")</f>
        <v>Red Dawn</v>
      </c>
      <c r="B274" s="32">
        <f>IFERROR(__xludf.DUMMYFUNCTION("""COMPUTED_VALUE"""),41234.0)</f>
        <v>41234</v>
      </c>
      <c r="C274" s="33" t="str">
        <f>IFERROR(__xludf.DUMMYFUNCTION("""COMPUTED_VALUE"""),"Action")</f>
        <v>Action</v>
      </c>
      <c r="D274" s="33">
        <f>IFERROR(__xludf.DUMMYFUNCTION("""COMPUTED_VALUE"""),6.5E7)</f>
        <v>65000000</v>
      </c>
      <c r="E274" s="33">
        <f>IFERROR(__xludf.DUMMYFUNCTION("""COMPUTED_VALUE"""),4.81E7)</f>
        <v>48100000</v>
      </c>
    </row>
    <row r="275">
      <c r="A275" s="31" t="str">
        <f>IFERROR(__xludf.DUMMYFUNCTION("""COMPUTED_VALUE"""),"Red Tails")</f>
        <v>Red Tails</v>
      </c>
      <c r="B275" s="32">
        <f>IFERROR(__xludf.DUMMYFUNCTION("""COMPUTED_VALUE"""),40928.0)</f>
        <v>40928</v>
      </c>
      <c r="C275" s="33" t="str">
        <f>IFERROR(__xludf.DUMMYFUNCTION("""COMPUTED_VALUE"""),"Drama")</f>
        <v>Drama</v>
      </c>
      <c r="D275" s="33">
        <f>IFERROR(__xludf.DUMMYFUNCTION("""COMPUTED_VALUE"""),5.8E7)</f>
        <v>58000000</v>
      </c>
      <c r="E275" s="33">
        <f>IFERROR(__xludf.DUMMYFUNCTION("""COMPUTED_VALUE"""),5.04E7)</f>
        <v>50400000</v>
      </c>
    </row>
    <row r="276">
      <c r="A276" s="31" t="str">
        <f>IFERROR(__xludf.DUMMYFUNCTION("""COMPUTED_VALUE"""),"Resident Evil: Retribution")</f>
        <v>Resident Evil: Retribution</v>
      </c>
      <c r="B276" s="32">
        <f>IFERROR(__xludf.DUMMYFUNCTION("""COMPUTED_VALUE"""),41166.0)</f>
        <v>41166</v>
      </c>
      <c r="C276" s="33" t="str">
        <f>IFERROR(__xludf.DUMMYFUNCTION("""COMPUTED_VALUE"""),"Action")</f>
        <v>Action</v>
      </c>
      <c r="D276" s="33">
        <f>IFERROR(__xludf.DUMMYFUNCTION("""COMPUTED_VALUE"""),6.5E7)</f>
        <v>65000000</v>
      </c>
      <c r="E276" s="33">
        <f>IFERROR(__xludf.DUMMYFUNCTION("""COMPUTED_VALUE"""),2.402E8)</f>
        <v>240200000</v>
      </c>
    </row>
    <row r="277">
      <c r="A277" s="31" t="str">
        <f>IFERROR(__xludf.DUMMYFUNCTION("""COMPUTED_VALUE"""),"Ricki and the Flash")</f>
        <v>Ricki and the Flash</v>
      </c>
      <c r="B277" s="32">
        <f>IFERROR(__xludf.DUMMYFUNCTION("""COMPUTED_VALUE"""),42223.0)</f>
        <v>42223</v>
      </c>
      <c r="C277" s="33" t="str">
        <f>IFERROR(__xludf.DUMMYFUNCTION("""COMPUTED_VALUE"""),"Comedy")</f>
        <v>Comedy</v>
      </c>
      <c r="D277" s="33">
        <f>IFERROR(__xludf.DUMMYFUNCTION("""COMPUTED_VALUE"""),1.8E7)</f>
        <v>18000000</v>
      </c>
      <c r="E277" s="33">
        <f>IFERROR(__xludf.DUMMYFUNCTION("""COMPUTED_VALUE"""),4.13E7)</f>
        <v>41300000</v>
      </c>
    </row>
    <row r="278">
      <c r="A278" s="31" t="str">
        <f>IFERROR(__xludf.DUMMYFUNCTION("""COMPUTED_VALUE"""),"Riddick")</f>
        <v>Riddick</v>
      </c>
      <c r="B278" s="32">
        <f>IFERROR(__xludf.DUMMYFUNCTION("""COMPUTED_VALUE"""),41523.0)</f>
        <v>41523</v>
      </c>
      <c r="C278" s="33" t="str">
        <f>IFERROR(__xludf.DUMMYFUNCTION("""COMPUTED_VALUE"""),"Action")</f>
        <v>Action</v>
      </c>
      <c r="D278" s="33">
        <f>IFERROR(__xludf.DUMMYFUNCTION("""COMPUTED_VALUE"""),4.0E7)</f>
        <v>40000000</v>
      </c>
      <c r="E278" s="33">
        <f>IFERROR(__xludf.DUMMYFUNCTION("""COMPUTED_VALUE"""),1.003E8)</f>
        <v>100300000</v>
      </c>
    </row>
    <row r="279">
      <c r="A279" s="31" t="str">
        <f>IFERROR(__xludf.DUMMYFUNCTION("""COMPUTED_VALUE"""),"Ride Along")</f>
        <v>Ride Along</v>
      </c>
      <c r="B279" s="32">
        <f>IFERROR(__xludf.DUMMYFUNCTION("""COMPUTED_VALUE"""),41656.0)</f>
        <v>41656</v>
      </c>
      <c r="C279" s="33" t="str">
        <f>IFERROR(__xludf.DUMMYFUNCTION("""COMPUTED_VALUE"""),"Action")</f>
        <v>Action</v>
      </c>
      <c r="D279" s="33">
        <f>IFERROR(__xludf.DUMMYFUNCTION("""COMPUTED_VALUE"""),2.5E7)</f>
        <v>25000000</v>
      </c>
      <c r="E279" s="33">
        <f>IFERROR(__xludf.DUMMYFUNCTION("""COMPUTED_VALUE"""),1.545E8)</f>
        <v>154500000</v>
      </c>
    </row>
    <row r="280">
      <c r="A280" s="31" t="str">
        <f>IFERROR(__xludf.DUMMYFUNCTION("""COMPUTED_VALUE"""),"Ride Along 2")</f>
        <v>Ride Along 2</v>
      </c>
      <c r="B280" s="32">
        <f>IFERROR(__xludf.DUMMYFUNCTION("""COMPUTED_VALUE"""),42384.0)</f>
        <v>42384</v>
      </c>
      <c r="C280" s="33" t="str">
        <f>IFERROR(__xludf.DUMMYFUNCTION("""COMPUTED_VALUE"""),"Comedy")</f>
        <v>Comedy</v>
      </c>
      <c r="D280" s="33">
        <f>IFERROR(__xludf.DUMMYFUNCTION("""COMPUTED_VALUE"""),4.0E7)</f>
        <v>40000000</v>
      </c>
      <c r="E280" s="33">
        <f>IFERROR(__xludf.DUMMYFUNCTION("""COMPUTED_VALUE"""),1.242E8)</f>
        <v>124200000</v>
      </c>
    </row>
    <row r="281">
      <c r="A281" s="31" t="str">
        <f>IFERROR(__xludf.DUMMYFUNCTION("""COMPUTED_VALUE"""),"Rio 2")</f>
        <v>Rio 2</v>
      </c>
      <c r="B281" s="32">
        <f>IFERROR(__xludf.DUMMYFUNCTION("""COMPUTED_VALUE"""),41718.0)</f>
        <v>41718</v>
      </c>
      <c r="C281" s="33" t="str">
        <f>IFERROR(__xludf.DUMMYFUNCTION("""COMPUTED_VALUE"""),"Family")</f>
        <v>Family</v>
      </c>
      <c r="D281" s="33">
        <f>IFERROR(__xludf.DUMMYFUNCTION("""COMPUTED_VALUE"""),1.03E8)</f>
        <v>103000000</v>
      </c>
      <c r="E281" s="33">
        <f>IFERROR(__xludf.DUMMYFUNCTION("""COMPUTED_VALUE"""),5.001E8)</f>
        <v>500100000</v>
      </c>
    </row>
    <row r="282">
      <c r="A282" s="31" t="str">
        <f>IFERROR(__xludf.DUMMYFUNCTION("""COMPUTED_VALUE"""),"Rise of the Guardians")</f>
        <v>Rise of the Guardians</v>
      </c>
      <c r="B282" s="32">
        <f>IFERROR(__xludf.DUMMYFUNCTION("""COMPUTED_VALUE"""),41234.0)</f>
        <v>41234</v>
      </c>
      <c r="C282" s="33" t="str">
        <f>IFERROR(__xludf.DUMMYFUNCTION("""COMPUTED_VALUE"""),"Adventure")</f>
        <v>Adventure</v>
      </c>
      <c r="D282" s="33">
        <f>IFERROR(__xludf.DUMMYFUNCTION("""COMPUTED_VALUE"""),1.45E8)</f>
        <v>145000000</v>
      </c>
      <c r="E282" s="33">
        <f>IFERROR(__xludf.DUMMYFUNCTION("""COMPUTED_VALUE"""),3.069E8)</f>
        <v>306900000</v>
      </c>
    </row>
    <row r="283">
      <c r="A283" s="31" t="str">
        <f>IFERROR(__xludf.DUMMYFUNCTION("""COMPUTED_VALUE"""),"Risen")</f>
        <v>Risen</v>
      </c>
      <c r="B283" s="32">
        <f>IFERROR(__xludf.DUMMYFUNCTION("""COMPUTED_VALUE"""),42419.0)</f>
        <v>42419</v>
      </c>
      <c r="C283" s="33" t="str">
        <f>IFERROR(__xludf.DUMMYFUNCTION("""COMPUTED_VALUE"""),"Drama")</f>
        <v>Drama</v>
      </c>
      <c r="D283" s="33">
        <f>IFERROR(__xludf.DUMMYFUNCTION("""COMPUTED_VALUE"""),2.0E7)</f>
        <v>20000000</v>
      </c>
      <c r="E283" s="33">
        <f>IFERROR(__xludf.DUMMYFUNCTION("""COMPUTED_VALUE"""),4.61E7)</f>
        <v>46100000</v>
      </c>
    </row>
    <row r="284">
      <c r="A284" s="31" t="str">
        <f>IFERROR(__xludf.DUMMYFUNCTION("""COMPUTED_VALUE"""),"RoboCop")</f>
        <v>RoboCop</v>
      </c>
      <c r="B284" s="32">
        <f>IFERROR(__xludf.DUMMYFUNCTION("""COMPUTED_VALUE"""),41669.0)</f>
        <v>41669</v>
      </c>
      <c r="C284" s="33" t="str">
        <f>IFERROR(__xludf.DUMMYFUNCTION("""COMPUTED_VALUE"""),"Action")</f>
        <v>Action</v>
      </c>
      <c r="D284" s="33">
        <f>IFERROR(__xludf.DUMMYFUNCTION("""COMPUTED_VALUE"""),1.0E8)</f>
        <v>100000000</v>
      </c>
      <c r="E284" s="33">
        <f>IFERROR(__xludf.DUMMYFUNCTION("""COMPUTED_VALUE"""),2.427E8)</f>
        <v>242700000</v>
      </c>
    </row>
    <row r="285">
      <c r="A285" s="31" t="str">
        <f>IFERROR(__xludf.DUMMYFUNCTION("""COMPUTED_VALUE"""),"Robot &amp; Frank")</f>
        <v>Robot &amp; Frank</v>
      </c>
      <c r="B285" s="32">
        <f>IFERROR(__xludf.DUMMYFUNCTION("""COMPUTED_VALUE"""),41138.0)</f>
        <v>41138</v>
      </c>
      <c r="C285" s="33" t="str">
        <f>IFERROR(__xludf.DUMMYFUNCTION("""COMPUTED_VALUE"""),"Comedy")</f>
        <v>Comedy</v>
      </c>
      <c r="D285" s="33">
        <f>IFERROR(__xludf.DUMMYFUNCTION("""COMPUTED_VALUE"""),2500000.0)</f>
        <v>2500000</v>
      </c>
      <c r="E285" s="33">
        <f>IFERROR(__xludf.DUMMYFUNCTION("""COMPUTED_VALUE"""),4900000.0)</f>
        <v>4900000</v>
      </c>
    </row>
    <row r="286">
      <c r="A286" s="31" t="str">
        <f>IFERROR(__xludf.DUMMYFUNCTION("""COMPUTED_VALUE"""),"Rock of Ages")</f>
        <v>Rock of Ages</v>
      </c>
      <c r="B286" s="32">
        <f>IFERROR(__xludf.DUMMYFUNCTION("""COMPUTED_VALUE"""),41075.0)</f>
        <v>41075</v>
      </c>
      <c r="C286" s="33" t="str">
        <f>IFERROR(__xludf.DUMMYFUNCTION("""COMPUTED_VALUE"""),"Musical")</f>
        <v>Musical</v>
      </c>
      <c r="D286" s="33">
        <f>IFERROR(__xludf.DUMMYFUNCTION("""COMPUTED_VALUE"""),7.5E7)</f>
        <v>75000000</v>
      </c>
      <c r="E286" s="33">
        <f>IFERROR(__xludf.DUMMYFUNCTION("""COMPUTED_VALUE"""),5.94E7)</f>
        <v>59400000</v>
      </c>
    </row>
    <row r="287">
      <c r="A287" s="31" t="str">
        <f>IFERROR(__xludf.DUMMYFUNCTION("""COMPUTED_VALUE"""),"Rock the Kasbah")</f>
        <v>Rock the Kasbah</v>
      </c>
      <c r="B287" s="32">
        <f>IFERROR(__xludf.DUMMYFUNCTION("""COMPUTED_VALUE"""),42299.0)</f>
        <v>42299</v>
      </c>
      <c r="C287" s="33" t="str">
        <f>IFERROR(__xludf.DUMMYFUNCTION("""COMPUTED_VALUE"""),"Comedy")</f>
        <v>Comedy</v>
      </c>
      <c r="D287" s="33">
        <f>IFERROR(__xludf.DUMMYFUNCTION("""COMPUTED_VALUE"""),1.5E7)</f>
        <v>15000000</v>
      </c>
      <c r="E287" s="33">
        <f>IFERROR(__xludf.DUMMYFUNCTION("""COMPUTED_VALUE"""),3400000.0)</f>
        <v>3400000</v>
      </c>
    </row>
    <row r="288">
      <c r="A288" s="31" t="str">
        <f>IFERROR(__xludf.DUMMYFUNCTION("""COMPUTED_VALUE"""),"Romeo and Juliet")</f>
        <v>Romeo and Juliet</v>
      </c>
      <c r="B288" s="32">
        <f>IFERROR(__xludf.DUMMYFUNCTION("""COMPUTED_VALUE"""),41481.0)</f>
        <v>41481</v>
      </c>
      <c r="C288" s="33" t="str">
        <f>IFERROR(__xludf.DUMMYFUNCTION("""COMPUTED_VALUE"""),"Drama")</f>
        <v>Drama</v>
      </c>
      <c r="D288" s="33">
        <f>IFERROR(__xludf.DUMMYFUNCTION("""COMPUTED_VALUE"""),1.5E7)</f>
        <v>15000000</v>
      </c>
      <c r="E288" s="33">
        <f>IFERROR(__xludf.DUMMYFUNCTION("""COMPUTED_VALUE"""),3000000.0)</f>
        <v>3000000</v>
      </c>
    </row>
    <row r="289">
      <c r="A289" s="31" t="str">
        <f>IFERROR(__xludf.DUMMYFUNCTION("""COMPUTED_VALUE"""),"Room")</f>
        <v>Room</v>
      </c>
      <c r="B289" s="32">
        <f>IFERROR(__xludf.DUMMYFUNCTION("""COMPUTED_VALUE"""),42251.0)</f>
        <v>42251</v>
      </c>
      <c r="C289" s="33" t="str">
        <f>IFERROR(__xludf.DUMMYFUNCTION("""COMPUTED_VALUE"""),"Drama")</f>
        <v>Drama</v>
      </c>
      <c r="D289" s="33">
        <f>IFERROR(__xludf.DUMMYFUNCTION("""COMPUTED_VALUE"""),1.3E7)</f>
        <v>13000000</v>
      </c>
      <c r="E289" s="33">
        <f>IFERROR(__xludf.DUMMYFUNCTION("""COMPUTED_VALUE"""),3.6E7)</f>
        <v>36000000</v>
      </c>
    </row>
    <row r="290">
      <c r="A290" s="31" t="str">
        <f>IFERROR(__xludf.DUMMYFUNCTION("""COMPUTED_VALUE"""),"Run All Night")</f>
        <v>Run All Night</v>
      </c>
      <c r="B290" s="32">
        <f>IFERROR(__xludf.DUMMYFUNCTION("""COMPUTED_VALUE"""),42076.0)</f>
        <v>42076</v>
      </c>
      <c r="C290" s="33" t="str">
        <f>IFERROR(__xludf.DUMMYFUNCTION("""COMPUTED_VALUE"""),"Action")</f>
        <v>Action</v>
      </c>
      <c r="D290" s="33">
        <f>IFERROR(__xludf.DUMMYFUNCTION("""COMPUTED_VALUE"""),6.16E7)</f>
        <v>61600000</v>
      </c>
      <c r="E290" s="33">
        <f>IFERROR(__xludf.DUMMYFUNCTION("""COMPUTED_VALUE"""),7.17E7)</f>
        <v>71700000</v>
      </c>
    </row>
    <row r="291">
      <c r="A291" s="31" t="str">
        <f>IFERROR(__xludf.DUMMYFUNCTION("""COMPUTED_VALUE"""),"Runner, Runner")</f>
        <v>Runner, Runner</v>
      </c>
      <c r="B291" s="32">
        <f>IFERROR(__xludf.DUMMYFUNCTION("""COMPUTED_VALUE"""),41544.0)</f>
        <v>41544</v>
      </c>
      <c r="C291" s="33" t="str">
        <f>IFERROR(__xludf.DUMMYFUNCTION("""COMPUTED_VALUE"""),"Crime")</f>
        <v>Crime</v>
      </c>
      <c r="D291" s="33">
        <f>IFERROR(__xludf.DUMMYFUNCTION("""COMPUTED_VALUE"""),3.0E7)</f>
        <v>30000000</v>
      </c>
      <c r="E291" s="33">
        <f>IFERROR(__xludf.DUMMYFUNCTION("""COMPUTED_VALUE"""),3.0E7)</f>
        <v>30000000</v>
      </c>
    </row>
    <row r="292">
      <c r="A292" s="31" t="str">
        <f>IFERROR(__xludf.DUMMYFUNCTION("""COMPUTED_VALUE"""),"Rush")</f>
        <v>Rush</v>
      </c>
      <c r="B292" s="32">
        <f>IFERROR(__xludf.DUMMYFUNCTION("""COMPUTED_VALUE"""),41537.0)</f>
        <v>41537</v>
      </c>
      <c r="C292" s="33" t="str">
        <f>IFERROR(__xludf.DUMMYFUNCTION("""COMPUTED_VALUE"""),"Action")</f>
        <v>Action</v>
      </c>
      <c r="D292" s="33">
        <f>IFERROR(__xludf.DUMMYFUNCTION("""COMPUTED_VALUE"""),3.8E7)</f>
        <v>38000000</v>
      </c>
      <c r="E292" s="33">
        <f>IFERROR(__xludf.DUMMYFUNCTION("""COMPUTED_VALUE"""),9.02E7)</f>
        <v>90200000</v>
      </c>
    </row>
    <row r="293">
      <c r="A293" s="31" t="str">
        <f>IFERROR(__xludf.DUMMYFUNCTION("""COMPUTED_VALUE"""),"Sabotage")</f>
        <v>Sabotage</v>
      </c>
      <c r="B293" s="32">
        <f>IFERROR(__xludf.DUMMYFUNCTION("""COMPUTED_VALUE"""),41717.0)</f>
        <v>41717</v>
      </c>
      <c r="C293" s="33" t="str">
        <f>IFERROR(__xludf.DUMMYFUNCTION("""COMPUTED_VALUE"""),"Action")</f>
        <v>Action</v>
      </c>
      <c r="D293" s="33">
        <f>IFERROR(__xludf.DUMMYFUNCTION("""COMPUTED_VALUE"""),3.5E7)</f>
        <v>35000000</v>
      </c>
      <c r="E293" s="33">
        <f>IFERROR(__xludf.DUMMYFUNCTION("""COMPUTED_VALUE"""),1.75E7)</f>
        <v>17500000</v>
      </c>
    </row>
    <row r="294">
      <c r="A294" s="31" t="str">
        <f>IFERROR(__xludf.DUMMYFUNCTION("""COMPUTED_VALUE"""),"Safe House")</f>
        <v>Safe House</v>
      </c>
      <c r="B294" s="32">
        <f>IFERROR(__xludf.DUMMYFUNCTION("""COMPUTED_VALUE"""),40949.0)</f>
        <v>40949</v>
      </c>
      <c r="C294" s="33" t="str">
        <f>IFERROR(__xludf.DUMMYFUNCTION("""COMPUTED_VALUE"""),"Action")</f>
        <v>Action</v>
      </c>
      <c r="D294" s="33">
        <f>IFERROR(__xludf.DUMMYFUNCTION("""COMPUTED_VALUE"""),8.5E7)</f>
        <v>85000000</v>
      </c>
      <c r="E294" s="33">
        <f>IFERROR(__xludf.DUMMYFUNCTION("""COMPUTED_VALUE"""),2.081E8)</f>
        <v>208100000</v>
      </c>
    </row>
    <row r="295">
      <c r="A295" s="31" t="str">
        <f>IFERROR(__xludf.DUMMYFUNCTION("""COMPUTED_VALUE"""),"Salmon Fishing in the Yemen")</f>
        <v>Salmon Fishing in the Yemen</v>
      </c>
      <c r="B295" s="32">
        <f>IFERROR(__xludf.DUMMYFUNCTION("""COMPUTED_VALUE"""),40977.0)</f>
        <v>40977</v>
      </c>
      <c r="C295" s="33" t="str">
        <f>IFERROR(__xludf.DUMMYFUNCTION("""COMPUTED_VALUE"""),"Drama")</f>
        <v>Drama</v>
      </c>
      <c r="D295" s="33">
        <f>IFERROR(__xludf.DUMMYFUNCTION("""COMPUTED_VALUE"""),1.44E7)</f>
        <v>14400000</v>
      </c>
      <c r="E295" s="33">
        <f>IFERROR(__xludf.DUMMYFUNCTION("""COMPUTED_VALUE"""),3.46E7)</f>
        <v>34600000</v>
      </c>
    </row>
    <row r="296">
      <c r="A296" s="31" t="str">
        <f>IFERROR(__xludf.DUMMYFUNCTION("""COMPUTED_VALUE"""),"Savages")</f>
        <v>Savages</v>
      </c>
      <c r="B296" s="32">
        <f>IFERROR(__xludf.DUMMYFUNCTION("""COMPUTED_VALUE"""),41096.0)</f>
        <v>41096</v>
      </c>
      <c r="C296" s="33" t="str">
        <f>IFERROR(__xludf.DUMMYFUNCTION("""COMPUTED_VALUE"""),"Crime")</f>
        <v>Crime</v>
      </c>
      <c r="D296" s="33">
        <f>IFERROR(__xludf.DUMMYFUNCTION("""COMPUTED_VALUE"""),4.5E7)</f>
        <v>45000000</v>
      </c>
      <c r="E296" s="33">
        <f>IFERROR(__xludf.DUMMYFUNCTION("""COMPUTED_VALUE"""),8.3E7)</f>
        <v>83000000</v>
      </c>
    </row>
    <row r="297">
      <c r="A297" s="31" t="str">
        <f>IFERROR(__xludf.DUMMYFUNCTION("""COMPUTED_VALUE"""),"Scary Movie 5")</f>
        <v>Scary Movie 5</v>
      </c>
      <c r="B297" s="32">
        <f>IFERROR(__xludf.DUMMYFUNCTION("""COMPUTED_VALUE"""),41376.0)</f>
        <v>41376</v>
      </c>
      <c r="C297" s="33" t="str">
        <f>IFERROR(__xludf.DUMMYFUNCTION("""COMPUTED_VALUE"""),"Comedy")</f>
        <v>Comedy</v>
      </c>
      <c r="D297" s="33">
        <f>IFERROR(__xludf.DUMMYFUNCTION("""COMPUTED_VALUE"""),2.0E7)</f>
        <v>20000000</v>
      </c>
      <c r="E297" s="33">
        <f>IFERROR(__xludf.DUMMYFUNCTION("""COMPUTED_VALUE"""),7.84E7)</f>
        <v>78400000</v>
      </c>
    </row>
    <row r="298">
      <c r="A298" s="31" t="str">
        <f>IFERROR(__xludf.DUMMYFUNCTION("""COMPUTED_VALUE"""),"Secret in Their Eyes")</f>
        <v>Secret in Their Eyes</v>
      </c>
      <c r="B298" s="32">
        <f>IFERROR(__xludf.DUMMYFUNCTION("""COMPUTED_VALUE"""),42328.0)</f>
        <v>42328</v>
      </c>
      <c r="C298" s="33" t="str">
        <f>IFERROR(__xludf.DUMMYFUNCTION("""COMPUTED_VALUE"""),"Crime")</f>
        <v>Crime</v>
      </c>
      <c r="D298" s="33">
        <f>IFERROR(__xludf.DUMMYFUNCTION("""COMPUTED_VALUE"""),1.95E7)</f>
        <v>19500000</v>
      </c>
      <c r="E298" s="33">
        <f>IFERROR(__xludf.DUMMYFUNCTION("""COMPUTED_VALUE"""),3.2200000000000004E7)</f>
        <v>32200000</v>
      </c>
    </row>
    <row r="299">
      <c r="A299" s="31" t="str">
        <f>IFERROR(__xludf.DUMMYFUNCTION("""COMPUTED_VALUE"""),"Self/less")</f>
        <v>Self/less</v>
      </c>
      <c r="B299" s="32">
        <f>IFERROR(__xludf.DUMMYFUNCTION("""COMPUTED_VALUE"""),42195.0)</f>
        <v>42195</v>
      </c>
      <c r="C299" s="33" t="str">
        <f>IFERROR(__xludf.DUMMYFUNCTION("""COMPUTED_VALUE"""),"Drama")</f>
        <v>Drama</v>
      </c>
      <c r="D299" s="33">
        <f>IFERROR(__xludf.DUMMYFUNCTION("""COMPUTED_VALUE"""),2.6E7)</f>
        <v>26000000</v>
      </c>
      <c r="E299" s="33">
        <f>IFERROR(__xludf.DUMMYFUNCTION("""COMPUTED_VALUE"""),3.05E7)</f>
        <v>30500000</v>
      </c>
    </row>
    <row r="300">
      <c r="A300" s="31" t="str">
        <f>IFERROR(__xludf.DUMMYFUNCTION("""COMPUTED_VALUE"""),"Selma")</f>
        <v>Selma</v>
      </c>
      <c r="B300" s="32">
        <f>IFERROR(__xludf.DUMMYFUNCTION("""COMPUTED_VALUE"""),41998.0)</f>
        <v>41998</v>
      </c>
      <c r="C300" s="33" t="str">
        <f>IFERROR(__xludf.DUMMYFUNCTION("""COMPUTED_VALUE"""),"Drama")</f>
        <v>Drama</v>
      </c>
      <c r="D300" s="33">
        <f>IFERROR(__xludf.DUMMYFUNCTION("""COMPUTED_VALUE"""),2.0E7)</f>
        <v>20000000</v>
      </c>
      <c r="E300" s="33">
        <f>IFERROR(__xludf.DUMMYFUNCTION("""COMPUTED_VALUE"""),6.68E7)</f>
        <v>66800000</v>
      </c>
    </row>
    <row r="301">
      <c r="A301" s="31" t="str">
        <f>IFERROR(__xludf.DUMMYFUNCTION("""COMPUTED_VALUE"""),"Seventh Son")</f>
        <v>Seventh Son</v>
      </c>
      <c r="B301" s="32">
        <f>IFERROR(__xludf.DUMMYFUNCTION("""COMPUTED_VALUE"""),41990.0)</f>
        <v>41990</v>
      </c>
      <c r="C301" s="33" t="str">
        <f>IFERROR(__xludf.DUMMYFUNCTION("""COMPUTED_VALUE"""),"Fantasy")</f>
        <v>Fantasy</v>
      </c>
      <c r="D301" s="33">
        <f>IFERROR(__xludf.DUMMYFUNCTION("""COMPUTED_VALUE"""),9.5E7)</f>
        <v>95000000</v>
      </c>
      <c r="E301" s="33">
        <f>IFERROR(__xludf.DUMMYFUNCTION("""COMPUTED_VALUE"""),1.142E8)</f>
        <v>114200000</v>
      </c>
    </row>
    <row r="302">
      <c r="A302" s="31" t="str">
        <f>IFERROR(__xludf.DUMMYFUNCTION("""COMPUTED_VALUE"""),"Shaun the Sheep Movie")</f>
        <v>Shaun the Sheep Movie</v>
      </c>
      <c r="B302" s="32">
        <f>IFERROR(__xludf.DUMMYFUNCTION("""COMPUTED_VALUE"""),42028.0)</f>
        <v>42028</v>
      </c>
      <c r="C302" s="33" t="str">
        <f>IFERROR(__xludf.DUMMYFUNCTION("""COMPUTED_VALUE"""),"Adventure")</f>
        <v>Adventure</v>
      </c>
      <c r="D302" s="33">
        <f>IFERROR(__xludf.DUMMYFUNCTION("""COMPUTED_VALUE"""),2.5E7)</f>
        <v>25000000</v>
      </c>
      <c r="E302" s="33">
        <f>IFERROR(__xludf.DUMMYFUNCTION("""COMPUTED_VALUE"""),1.06E8)</f>
        <v>106000000</v>
      </c>
    </row>
    <row r="303">
      <c r="A303" s="31" t="str">
        <f>IFERROR(__xludf.DUMMYFUNCTION("""COMPUTED_VALUE"""),"Sicario")</f>
        <v>Sicario</v>
      </c>
      <c r="B303" s="32">
        <f>IFERROR(__xludf.DUMMYFUNCTION("""COMPUTED_VALUE"""),42143.0)</f>
        <v>42143</v>
      </c>
      <c r="C303" s="33" t="str">
        <f>IFERROR(__xludf.DUMMYFUNCTION("""COMPUTED_VALUE"""),"Crime")</f>
        <v>Crime</v>
      </c>
      <c r="D303" s="33">
        <f>IFERROR(__xludf.DUMMYFUNCTION("""COMPUTED_VALUE"""),3.0E7)</f>
        <v>30000000</v>
      </c>
      <c r="E303" s="33">
        <f>IFERROR(__xludf.DUMMYFUNCTION("""COMPUTED_VALUE"""),8.49E7)</f>
        <v>84900000</v>
      </c>
    </row>
    <row r="304">
      <c r="A304" s="31" t="str">
        <f>IFERROR(__xludf.DUMMYFUNCTION("""COMPUTED_VALUE"""),"Side Effects")</f>
        <v>Side Effects</v>
      </c>
      <c r="B304" s="32">
        <f>IFERROR(__xludf.DUMMYFUNCTION("""COMPUTED_VALUE"""),41313.0)</f>
        <v>41313</v>
      </c>
      <c r="C304" s="33" t="str">
        <f>IFERROR(__xludf.DUMMYFUNCTION("""COMPUTED_VALUE"""),"Crime")</f>
        <v>Crime</v>
      </c>
      <c r="D304" s="33">
        <f>IFERROR(__xludf.DUMMYFUNCTION("""COMPUTED_VALUE"""),3.0E7)</f>
        <v>30000000</v>
      </c>
      <c r="E304" s="33">
        <f>IFERROR(__xludf.DUMMYFUNCTION("""COMPUTED_VALUE"""),6.67E7)</f>
        <v>66700000</v>
      </c>
    </row>
    <row r="305">
      <c r="A305" s="31" t="str">
        <f>IFERROR(__xludf.DUMMYFUNCTION("""COMPUTED_VALUE"""),"Silent Hill: Revelation 3D")</f>
        <v>Silent Hill: Revelation 3D</v>
      </c>
      <c r="B305" s="32">
        <f>IFERROR(__xludf.DUMMYFUNCTION("""COMPUTED_VALUE"""),41208.0)</f>
        <v>41208</v>
      </c>
      <c r="C305" s="33" t="str">
        <f>IFERROR(__xludf.DUMMYFUNCTION("""COMPUTED_VALUE"""),"Horror")</f>
        <v>Horror</v>
      </c>
      <c r="D305" s="33">
        <f>IFERROR(__xludf.DUMMYFUNCTION("""COMPUTED_VALUE"""),2.0E7)</f>
        <v>20000000</v>
      </c>
      <c r="E305" s="33">
        <f>IFERROR(__xludf.DUMMYFUNCTION("""COMPUTED_VALUE"""),5.23E7)</f>
        <v>52300000</v>
      </c>
    </row>
    <row r="306">
      <c r="A306" s="31" t="str">
        <f>IFERROR(__xludf.DUMMYFUNCTION("""COMPUTED_VALUE"""),"Silver Linings Playbook")</f>
        <v>Silver Linings Playbook</v>
      </c>
      <c r="B306" s="32">
        <f>IFERROR(__xludf.DUMMYFUNCTION("""COMPUTED_VALUE"""),41229.0)</f>
        <v>41229</v>
      </c>
      <c r="C306" s="33" t="str">
        <f>IFERROR(__xludf.DUMMYFUNCTION("""COMPUTED_VALUE"""),"Drama")</f>
        <v>Drama</v>
      </c>
      <c r="D306" s="33">
        <f>IFERROR(__xludf.DUMMYFUNCTION("""COMPUTED_VALUE"""),2.1E7)</f>
        <v>21000000</v>
      </c>
      <c r="E306" s="33">
        <f>IFERROR(__xludf.DUMMYFUNCTION("""COMPUTED_VALUE"""),2.364E8)</f>
        <v>236400000</v>
      </c>
    </row>
    <row r="307">
      <c r="A307" s="31" t="str">
        <f>IFERROR(__xludf.DUMMYFUNCTION("""COMPUTED_VALUE"""),"Sin City: A Dame to Kill For")</f>
        <v>Sin City: A Dame to Kill For</v>
      </c>
      <c r="B307" s="32">
        <f>IFERROR(__xludf.DUMMYFUNCTION("""COMPUTED_VALUE"""),41870.0)</f>
        <v>41870</v>
      </c>
      <c r="C307" s="33" t="str">
        <f>IFERROR(__xludf.DUMMYFUNCTION("""COMPUTED_VALUE"""),"Crime")</f>
        <v>Crime</v>
      </c>
      <c r="D307" s="33">
        <f>IFERROR(__xludf.DUMMYFUNCTION("""COMPUTED_VALUE"""),6.5E7)</f>
        <v>65000000</v>
      </c>
      <c r="E307" s="33">
        <f>IFERROR(__xludf.DUMMYFUNCTION("""COMPUTED_VALUE"""),3.94E7)</f>
        <v>39400000</v>
      </c>
    </row>
    <row r="308">
      <c r="A308" s="31" t="str">
        <f>IFERROR(__xludf.DUMMYFUNCTION("""COMPUTED_VALUE"""),"Sinister")</f>
        <v>Sinister</v>
      </c>
      <c r="B308" s="32">
        <f>IFERROR(__xludf.DUMMYFUNCTION("""COMPUTED_VALUE"""),41194.0)</f>
        <v>41194</v>
      </c>
      <c r="C308" s="33" t="str">
        <f>IFERROR(__xludf.DUMMYFUNCTION("""COMPUTED_VALUE"""),"Horror")</f>
        <v>Horror</v>
      </c>
      <c r="D308" s="33">
        <f>IFERROR(__xludf.DUMMYFUNCTION("""COMPUTED_VALUE"""),3000000.0)</f>
        <v>3000000</v>
      </c>
      <c r="E308" s="33">
        <f>IFERROR(__xludf.DUMMYFUNCTION("""COMPUTED_VALUE"""),7.77E7)</f>
        <v>77700000</v>
      </c>
    </row>
    <row r="309">
      <c r="A309" s="31" t="str">
        <f>IFERROR(__xludf.DUMMYFUNCTION("""COMPUTED_VALUE"""),"Sinister 2")</f>
        <v>Sinister 2</v>
      </c>
      <c r="B309" s="32">
        <f>IFERROR(__xludf.DUMMYFUNCTION("""COMPUTED_VALUE"""),42237.0)</f>
        <v>42237</v>
      </c>
      <c r="C309" s="33" t="str">
        <f>IFERROR(__xludf.DUMMYFUNCTION("""COMPUTED_VALUE"""),"Horror")</f>
        <v>Horror</v>
      </c>
      <c r="D309" s="33">
        <f>IFERROR(__xludf.DUMMYFUNCTION("""COMPUTED_VALUE"""),1.0E7)</f>
        <v>10000000</v>
      </c>
      <c r="E309" s="33">
        <f>IFERROR(__xludf.DUMMYFUNCTION("""COMPUTED_VALUE"""),5.29E7)</f>
        <v>52900000</v>
      </c>
    </row>
    <row r="310">
      <c r="A310" s="31" t="str">
        <f>IFERROR(__xludf.DUMMYFUNCTION("""COMPUTED_VALUE"""),"Sisters")</f>
        <v>Sisters</v>
      </c>
      <c r="B310" s="32">
        <f>IFERROR(__xludf.DUMMYFUNCTION("""COMPUTED_VALUE"""),42356.0)</f>
        <v>42356</v>
      </c>
      <c r="C310" s="33" t="str">
        <f>IFERROR(__xludf.DUMMYFUNCTION("""COMPUTED_VALUE"""),"Comedy")</f>
        <v>Comedy</v>
      </c>
      <c r="D310" s="33">
        <f>IFERROR(__xludf.DUMMYFUNCTION("""COMPUTED_VALUE"""),3.0E7)</f>
        <v>30000000</v>
      </c>
      <c r="E310" s="33">
        <f>IFERROR(__xludf.DUMMYFUNCTION("""COMPUTED_VALUE"""),1.05E8)</f>
        <v>105000000</v>
      </c>
    </row>
    <row r="311">
      <c r="A311" s="31" t="str">
        <f>IFERROR(__xludf.DUMMYFUNCTION("""COMPUTED_VALUE"""),"Snitch")</f>
        <v>Snitch</v>
      </c>
      <c r="B311" s="32">
        <f>IFERROR(__xludf.DUMMYFUNCTION("""COMPUTED_VALUE"""),41327.0)</f>
        <v>41327</v>
      </c>
      <c r="C311" s="33" t="str">
        <f>IFERROR(__xludf.DUMMYFUNCTION("""COMPUTED_VALUE"""),"Action")</f>
        <v>Action</v>
      </c>
      <c r="D311" s="33">
        <f>IFERROR(__xludf.DUMMYFUNCTION("""COMPUTED_VALUE"""),1.5E7)</f>
        <v>15000000</v>
      </c>
      <c r="E311" s="33">
        <f>IFERROR(__xludf.DUMMYFUNCTION("""COMPUTED_VALUE"""),5.78E7)</f>
        <v>57800000</v>
      </c>
    </row>
    <row r="312">
      <c r="A312" s="31" t="str">
        <f>IFERROR(__xludf.DUMMYFUNCTION("""COMPUTED_VALUE"""),"Snow White and the Huntsman")</f>
        <v>Snow White and the Huntsman</v>
      </c>
      <c r="B312" s="32">
        <f>IFERROR(__xludf.DUMMYFUNCTION("""COMPUTED_VALUE"""),41061.0)</f>
        <v>41061</v>
      </c>
      <c r="C312" s="33" t="str">
        <f>IFERROR(__xludf.DUMMYFUNCTION("""COMPUTED_VALUE"""),"Action")</f>
        <v>Action</v>
      </c>
      <c r="D312" s="33">
        <f>IFERROR(__xludf.DUMMYFUNCTION("""COMPUTED_VALUE"""),1.7E8)</f>
        <v>170000000</v>
      </c>
      <c r="E312" s="33">
        <f>IFERROR(__xludf.DUMMYFUNCTION("""COMPUTED_VALUE"""),3.966E8)</f>
        <v>396600000</v>
      </c>
    </row>
    <row r="313">
      <c r="A313" s="31" t="str">
        <f>IFERROR(__xludf.DUMMYFUNCTION("""COMPUTED_VALUE"""),"Son of God")</f>
        <v>Son of God</v>
      </c>
      <c r="B313" s="32">
        <f>IFERROR(__xludf.DUMMYFUNCTION("""COMPUTED_VALUE"""),41698.0)</f>
        <v>41698</v>
      </c>
      <c r="C313" s="33" t="str">
        <f>IFERROR(__xludf.DUMMYFUNCTION("""COMPUTED_VALUE"""),"Drama")</f>
        <v>Drama</v>
      </c>
      <c r="D313" s="33">
        <f>IFERROR(__xludf.DUMMYFUNCTION("""COMPUTED_VALUE"""),2.2E7)</f>
        <v>22000000</v>
      </c>
      <c r="E313" s="33">
        <f>IFERROR(__xludf.DUMMYFUNCTION("""COMPUTED_VALUE"""),6.78E7)</f>
        <v>67800000</v>
      </c>
    </row>
    <row r="314">
      <c r="A314" s="31" t="str">
        <f>IFERROR(__xludf.DUMMYFUNCTION("""COMPUTED_VALUE"""),"Son of Saul")</f>
        <v>Son of Saul</v>
      </c>
      <c r="B314" s="32">
        <f>IFERROR(__xludf.DUMMYFUNCTION("""COMPUTED_VALUE"""),42139.0)</f>
        <v>42139</v>
      </c>
      <c r="C314" s="33" t="str">
        <f>IFERROR(__xludf.DUMMYFUNCTION("""COMPUTED_VALUE"""),"Drama")</f>
        <v>Drama</v>
      </c>
      <c r="D314" s="33">
        <f>IFERROR(__xludf.DUMMYFUNCTION("""COMPUTED_VALUE"""),1500000.0)</f>
        <v>1500000</v>
      </c>
      <c r="E314" s="33">
        <f>IFERROR(__xludf.DUMMYFUNCTION("""COMPUTED_VALUE"""),6200000.0)</f>
        <v>6200000</v>
      </c>
    </row>
    <row r="315">
      <c r="A315" s="31" t="str">
        <f>IFERROR(__xludf.DUMMYFUNCTION("""COMPUTED_VALUE"""),"Southpaw")</f>
        <v>Southpaw</v>
      </c>
      <c r="B315" s="32">
        <f>IFERROR(__xludf.DUMMYFUNCTION("""COMPUTED_VALUE"""),42170.0)</f>
        <v>42170</v>
      </c>
      <c r="C315" s="33" t="str">
        <f>IFERROR(__xludf.DUMMYFUNCTION("""COMPUTED_VALUE"""),"Drama")</f>
        <v>Drama</v>
      </c>
      <c r="D315" s="33">
        <f>IFERROR(__xludf.DUMMYFUNCTION("""COMPUTED_VALUE"""),3.0E7)</f>
        <v>30000000</v>
      </c>
      <c r="E315" s="33">
        <f>IFERROR(__xludf.DUMMYFUNCTION("""COMPUTED_VALUE"""),9.2E7)</f>
        <v>92000000</v>
      </c>
    </row>
    <row r="316">
      <c r="A316" s="31" t="str">
        <f>IFERROR(__xludf.DUMMYFUNCTION("""COMPUTED_VALUE"""),"Spotlight")</f>
        <v>Spotlight</v>
      </c>
      <c r="B316" s="32">
        <f>IFERROR(__xludf.DUMMYFUNCTION("""COMPUTED_VALUE"""),42250.0)</f>
        <v>42250</v>
      </c>
      <c r="C316" s="33" t="str">
        <f>IFERROR(__xludf.DUMMYFUNCTION("""COMPUTED_VALUE"""),"Drama")</f>
        <v>Drama</v>
      </c>
      <c r="D316" s="33">
        <f>IFERROR(__xludf.DUMMYFUNCTION("""COMPUTED_VALUE"""),2.0E7)</f>
        <v>20000000</v>
      </c>
      <c r="E316" s="33">
        <f>IFERROR(__xludf.DUMMYFUNCTION("""COMPUTED_VALUE"""),8.83E7)</f>
        <v>88300000</v>
      </c>
    </row>
    <row r="317">
      <c r="A317" s="31" t="str">
        <f>IFERROR(__xludf.DUMMYFUNCTION("""COMPUTED_VALUE"""),"Spy")</f>
        <v>Spy</v>
      </c>
      <c r="B317" s="32">
        <f>IFERROR(__xludf.DUMMYFUNCTION("""COMPUTED_VALUE"""),42139.0)</f>
        <v>42139</v>
      </c>
      <c r="C317" s="33" t="str">
        <f>IFERROR(__xludf.DUMMYFUNCTION("""COMPUTED_VALUE"""),"Action")</f>
        <v>Action</v>
      </c>
      <c r="D317" s="33">
        <f>IFERROR(__xludf.DUMMYFUNCTION("""COMPUTED_VALUE"""),6.5E7)</f>
        <v>65000000</v>
      </c>
      <c r="E317" s="33">
        <f>IFERROR(__xludf.DUMMYFUNCTION("""COMPUTED_VALUE"""),2.357E8)</f>
        <v>235700000</v>
      </c>
    </row>
    <row r="318">
      <c r="A318" s="31" t="str">
        <f>IFERROR(__xludf.DUMMYFUNCTION("""COMPUTED_VALUE"""),"St. Vincent")</f>
        <v>St. Vincent</v>
      </c>
      <c r="B318" s="32">
        <f>IFERROR(__xludf.DUMMYFUNCTION("""COMPUTED_VALUE"""),41887.0)</f>
        <v>41887</v>
      </c>
      <c r="C318" s="33" t="str">
        <f>IFERROR(__xludf.DUMMYFUNCTION("""COMPUTED_VALUE"""),"Comedy")</f>
        <v>Comedy</v>
      </c>
      <c r="D318" s="33">
        <f>IFERROR(__xludf.DUMMYFUNCTION("""COMPUTED_VALUE"""),1.3E7)</f>
        <v>13000000</v>
      </c>
      <c r="E318" s="33">
        <f>IFERROR(__xludf.DUMMYFUNCTION("""COMPUTED_VALUE"""),5.48E7)</f>
        <v>54800000</v>
      </c>
    </row>
    <row r="319">
      <c r="A319" s="31" t="str">
        <f>IFERROR(__xludf.DUMMYFUNCTION("""COMPUTED_VALUE"""),"Stand by Me Doraemon")</f>
        <v>Stand by Me Doraemon</v>
      </c>
      <c r="B319" s="32">
        <f>IFERROR(__xludf.DUMMYFUNCTION("""COMPUTED_VALUE"""),41859.0)</f>
        <v>41859</v>
      </c>
      <c r="C319" s="33" t="str">
        <f>IFERROR(__xludf.DUMMYFUNCTION("""COMPUTED_VALUE"""),"Animation")</f>
        <v>Animation</v>
      </c>
      <c r="D319" s="33">
        <f>IFERROR(__xludf.DUMMYFUNCTION("""COMPUTED_VALUE"""),3.5E7)</f>
        <v>35000000</v>
      </c>
      <c r="E319" s="33">
        <f>IFERROR(__xludf.DUMMYFUNCTION("""COMPUTED_VALUE"""),1.964E8)</f>
        <v>196400000</v>
      </c>
    </row>
    <row r="320">
      <c r="A320" s="31" t="str">
        <f>IFERROR(__xludf.DUMMYFUNCTION("""COMPUTED_VALUE"""),"Star Trek Beyond")</f>
        <v>Star Trek Beyond</v>
      </c>
      <c r="B320" s="32">
        <f>IFERROR(__xludf.DUMMYFUNCTION("""COMPUTED_VALUE"""),42573.0)</f>
        <v>42573</v>
      </c>
      <c r="C320" s="33" t="str">
        <f>IFERROR(__xludf.DUMMYFUNCTION("""COMPUTED_VALUE"""),"Action")</f>
        <v>Action</v>
      </c>
      <c r="D320" s="33">
        <f>IFERROR(__xludf.DUMMYFUNCTION("""COMPUTED_VALUE"""),1.85E8)</f>
        <v>185000000</v>
      </c>
      <c r="E320" s="33">
        <f>IFERROR(__xludf.DUMMYFUNCTION("""COMPUTED_VALUE"""),2.43E8)</f>
        <v>243000000</v>
      </c>
    </row>
    <row r="321">
      <c r="A321" s="31" t="str">
        <f>IFERROR(__xludf.DUMMYFUNCTION("""COMPUTED_VALUE"""),"Step Up: All In")</f>
        <v>Step Up: All In</v>
      </c>
      <c r="B321" s="32">
        <f>IFERROR(__xludf.DUMMYFUNCTION("""COMPUTED_VALUE"""),41859.0)</f>
        <v>41859</v>
      </c>
      <c r="C321" s="33" t="str">
        <f>IFERROR(__xludf.DUMMYFUNCTION("""COMPUTED_VALUE"""),"Drama")</f>
        <v>Drama</v>
      </c>
      <c r="D321" s="33">
        <f>IFERROR(__xludf.DUMMYFUNCTION("""COMPUTED_VALUE"""),4.5E7)</f>
        <v>45000000</v>
      </c>
      <c r="E321" s="33">
        <f>IFERROR(__xludf.DUMMYFUNCTION("""COMPUTED_VALUE"""),8.62E7)</f>
        <v>86200000</v>
      </c>
    </row>
    <row r="322">
      <c r="A322" s="31" t="str">
        <f>IFERROR(__xludf.DUMMYFUNCTION("""COMPUTED_VALUE"""),"Steve Jobs")</f>
        <v>Steve Jobs</v>
      </c>
      <c r="B322" s="32">
        <f>IFERROR(__xludf.DUMMYFUNCTION("""COMPUTED_VALUE"""),42252.0)</f>
        <v>42252</v>
      </c>
      <c r="C322" s="33" t="str">
        <f>IFERROR(__xludf.DUMMYFUNCTION("""COMPUTED_VALUE"""),"Biography")</f>
        <v>Biography</v>
      </c>
      <c r="D322" s="33">
        <f>IFERROR(__xludf.DUMMYFUNCTION("""COMPUTED_VALUE"""),3.0E7)</f>
        <v>30000000</v>
      </c>
      <c r="E322" s="33">
        <f>IFERROR(__xludf.DUMMYFUNCTION("""COMPUTED_VALUE"""),3.44E7)</f>
        <v>34400000</v>
      </c>
    </row>
    <row r="323">
      <c r="A323" s="31" t="str">
        <f>IFERROR(__xludf.DUMMYFUNCTION("""COMPUTED_VALUE"""),"Straight Outta Compton")</f>
        <v>Straight Outta Compton</v>
      </c>
      <c r="B323" s="32">
        <f>IFERROR(__xludf.DUMMYFUNCTION("""COMPUTED_VALUE"""),42227.0)</f>
        <v>42227</v>
      </c>
      <c r="C323" s="33" t="str">
        <f>IFERROR(__xludf.DUMMYFUNCTION("""COMPUTED_VALUE"""),"Biography")</f>
        <v>Biography</v>
      </c>
      <c r="D323" s="33">
        <f>IFERROR(__xludf.DUMMYFUNCTION("""COMPUTED_VALUE"""),5.0E7)</f>
        <v>50000000</v>
      </c>
      <c r="E323" s="33">
        <f>IFERROR(__xludf.DUMMYFUNCTION("""COMPUTED_VALUE"""),2.016E8)</f>
        <v>201600000</v>
      </c>
    </row>
    <row r="324">
      <c r="A324" s="31" t="str">
        <f>IFERROR(__xludf.DUMMYFUNCTION("""COMPUTED_VALUE"""),"Suffragette")</f>
        <v>Suffragette</v>
      </c>
      <c r="B324" s="32">
        <f>IFERROR(__xludf.DUMMYFUNCTION("""COMPUTED_VALUE"""),42251.0)</f>
        <v>42251</v>
      </c>
      <c r="C324" s="33" t="str">
        <f>IFERROR(__xludf.DUMMYFUNCTION("""COMPUTED_VALUE"""),"Drama")</f>
        <v>Drama</v>
      </c>
      <c r="D324" s="33">
        <f>IFERROR(__xludf.DUMMYFUNCTION("""COMPUTED_VALUE"""),1.4E7)</f>
        <v>14000000</v>
      </c>
      <c r="E324" s="33">
        <f>IFERROR(__xludf.DUMMYFUNCTION("""COMPUTED_VALUE"""),3.2E7)</f>
        <v>32000000</v>
      </c>
    </row>
    <row r="325">
      <c r="A325" s="31" t="str">
        <f>IFERROR(__xludf.DUMMYFUNCTION("""COMPUTED_VALUE"""),"Suicide Squad")</f>
        <v>Suicide Squad</v>
      </c>
      <c r="B325" s="32">
        <f>IFERROR(__xludf.DUMMYFUNCTION("""COMPUTED_VALUE"""),42587.0)</f>
        <v>42587</v>
      </c>
      <c r="C325" s="33" t="str">
        <f>IFERROR(__xludf.DUMMYFUNCTION("""COMPUTED_VALUE"""),"Action")</f>
        <v>Action</v>
      </c>
      <c r="D325" s="33">
        <f>IFERROR(__xludf.DUMMYFUNCTION("""COMPUTED_VALUE"""),1.75E8)</f>
        <v>175000000</v>
      </c>
      <c r="E325" s="33">
        <f>IFERROR(__xludf.DUMMYFUNCTION("""COMPUTED_VALUE"""),6.367E8)</f>
        <v>636700000</v>
      </c>
    </row>
    <row r="326">
      <c r="A326" s="31" t="str">
        <f>IFERROR(__xludf.DUMMYFUNCTION("""COMPUTED_VALUE"""),"Taken 2")</f>
        <v>Taken 2</v>
      </c>
      <c r="B326" s="32">
        <f>IFERROR(__xludf.DUMMYFUNCTION("""COMPUTED_VALUE"""),41187.0)</f>
        <v>41187</v>
      </c>
      <c r="C326" s="33" t="str">
        <f>IFERROR(__xludf.DUMMYFUNCTION("""COMPUTED_VALUE"""),"Action")</f>
        <v>Action</v>
      </c>
      <c r="D326" s="33">
        <f>IFERROR(__xludf.DUMMYFUNCTION("""COMPUTED_VALUE"""),4.3E7)</f>
        <v>43000000</v>
      </c>
      <c r="E326" s="33">
        <f>IFERROR(__xludf.DUMMYFUNCTION("""COMPUTED_VALUE"""),3.761E8)</f>
        <v>376100000</v>
      </c>
    </row>
    <row r="327">
      <c r="A327" s="31" t="str">
        <f>IFERROR(__xludf.DUMMYFUNCTION("""COMPUTED_VALUE"""),"Tammy")</f>
        <v>Tammy</v>
      </c>
      <c r="B327" s="32">
        <f>IFERROR(__xludf.DUMMYFUNCTION("""COMPUTED_VALUE"""),41822.0)</f>
        <v>41822</v>
      </c>
      <c r="C327" s="33" t="str">
        <f>IFERROR(__xludf.DUMMYFUNCTION("""COMPUTED_VALUE"""),"Comedy")</f>
        <v>Comedy</v>
      </c>
      <c r="D327" s="33">
        <f>IFERROR(__xludf.DUMMYFUNCTION("""COMPUTED_VALUE"""),2.0E7)</f>
        <v>20000000</v>
      </c>
      <c r="E327" s="33">
        <f>IFERROR(__xludf.DUMMYFUNCTION("""COMPUTED_VALUE"""),1.005E8)</f>
        <v>100500000</v>
      </c>
    </row>
    <row r="328">
      <c r="A328" s="31" t="str">
        <f>IFERROR(__xludf.DUMMYFUNCTION("""COMPUTED_VALUE"""),"Ted")</f>
        <v>Ted</v>
      </c>
      <c r="B328" s="32">
        <f>IFERROR(__xludf.DUMMYFUNCTION("""COMPUTED_VALUE"""),41089.0)</f>
        <v>41089</v>
      </c>
      <c r="C328" s="33" t="str">
        <f>IFERROR(__xludf.DUMMYFUNCTION("""COMPUTED_VALUE"""),"Comedy")</f>
        <v>Comedy</v>
      </c>
      <c r="D328" s="33">
        <f>IFERROR(__xludf.DUMMYFUNCTION("""COMPUTED_VALUE"""),5.1E7)</f>
        <v>51000000</v>
      </c>
      <c r="E328" s="33">
        <f>IFERROR(__xludf.DUMMYFUNCTION("""COMPUTED_VALUE"""),5.494E8)</f>
        <v>549400000</v>
      </c>
    </row>
    <row r="329">
      <c r="A329" s="31" t="str">
        <f>IFERROR(__xludf.DUMMYFUNCTION("""COMPUTED_VALUE"""),"Ted 2")</f>
        <v>Ted 2</v>
      </c>
      <c r="B329" s="32">
        <f>IFERROR(__xludf.DUMMYFUNCTION("""COMPUTED_VALUE"""),42179.0)</f>
        <v>42179</v>
      </c>
      <c r="C329" s="33" t="str">
        <f>IFERROR(__xludf.DUMMYFUNCTION("""COMPUTED_VALUE"""),"Comedy")</f>
        <v>Comedy</v>
      </c>
      <c r="D329" s="33">
        <f>IFERROR(__xludf.DUMMYFUNCTION("""COMPUTED_VALUE"""),6.8E7)</f>
        <v>68000000</v>
      </c>
      <c r="E329" s="33">
        <f>IFERROR(__xludf.DUMMYFUNCTION("""COMPUTED_VALUE"""),2.167E8)</f>
        <v>216700000</v>
      </c>
    </row>
    <row r="330">
      <c r="A330" s="31" t="str">
        <f>IFERROR(__xludf.DUMMYFUNCTION("""COMPUTED_VALUE"""),"Teenage Mutant Ninja Turtles")</f>
        <v>Teenage Mutant Ninja Turtles</v>
      </c>
      <c r="B330" s="32">
        <f>IFERROR(__xludf.DUMMYFUNCTION("""COMPUTED_VALUE"""),41849.0)</f>
        <v>41849</v>
      </c>
      <c r="C330" s="33" t="str">
        <f>IFERROR(__xludf.DUMMYFUNCTION("""COMPUTED_VALUE"""),"Action")</f>
        <v>Action</v>
      </c>
      <c r="D330" s="33">
        <f>IFERROR(__xludf.DUMMYFUNCTION("""COMPUTED_VALUE"""),1.25E8)</f>
        <v>125000000</v>
      </c>
      <c r="E330" s="33">
        <f>IFERROR(__xludf.DUMMYFUNCTION("""COMPUTED_VALUE"""),4.933E8)</f>
        <v>493300000</v>
      </c>
    </row>
    <row r="331">
      <c r="A331" s="31" t="str">
        <f>IFERROR(__xludf.DUMMYFUNCTION("""COMPUTED_VALUE"""),"Teenage Mutant Ninja Turtles: Out of the Shadows")</f>
        <v>Teenage Mutant Ninja Turtles: Out of the Shadows</v>
      </c>
      <c r="B331" s="32">
        <f>IFERROR(__xludf.DUMMYFUNCTION("""COMPUTED_VALUE"""),42512.0)</f>
        <v>42512</v>
      </c>
      <c r="C331" s="33" t="str">
        <f>IFERROR(__xludf.DUMMYFUNCTION("""COMPUTED_VALUE"""),"Action")</f>
        <v>Action</v>
      </c>
      <c r="D331" s="33">
        <f>IFERROR(__xludf.DUMMYFUNCTION("""COMPUTED_VALUE"""),1.35E8)</f>
        <v>135000000</v>
      </c>
      <c r="E331" s="33">
        <f>IFERROR(__xludf.DUMMYFUNCTION("""COMPUTED_VALUE"""),2.425E8)</f>
        <v>242500000</v>
      </c>
    </row>
    <row r="332">
      <c r="A332" s="31" t="str">
        <f>IFERROR(__xludf.DUMMYFUNCTION("""COMPUTED_VALUE"""),"Terminator Genisys")</f>
        <v>Terminator Genisys</v>
      </c>
      <c r="B332" s="32">
        <f>IFERROR(__xludf.DUMMYFUNCTION("""COMPUTED_VALUE"""),42177.0)</f>
        <v>42177</v>
      </c>
      <c r="C332" s="33" t="str">
        <f>IFERROR(__xludf.DUMMYFUNCTION("""COMPUTED_VALUE"""),"Sci-Fi")</f>
        <v>Sci-Fi</v>
      </c>
      <c r="D332" s="33">
        <f>IFERROR(__xludf.DUMMYFUNCTION("""COMPUTED_VALUE"""),1.55E8)</f>
        <v>155000000</v>
      </c>
      <c r="E332" s="33">
        <f>IFERROR(__xludf.DUMMYFUNCTION("""COMPUTED_VALUE"""),4.406E8)</f>
        <v>440600000</v>
      </c>
    </row>
    <row r="333">
      <c r="A333" s="31" t="str">
        <f>IFERROR(__xludf.DUMMYFUNCTION("""COMPUTED_VALUE"""),"Texas Chainsaw 3D")</f>
        <v>Texas Chainsaw 3D</v>
      </c>
      <c r="B333" s="32">
        <f>IFERROR(__xludf.DUMMYFUNCTION("""COMPUTED_VALUE"""),41278.0)</f>
        <v>41278</v>
      </c>
      <c r="C333" s="33" t="str">
        <f>IFERROR(__xludf.DUMMYFUNCTION("""COMPUTED_VALUE"""),"Horror")</f>
        <v>Horror</v>
      </c>
      <c r="D333" s="33">
        <f>IFERROR(__xludf.DUMMYFUNCTION("""COMPUTED_VALUE"""),2.0E7)</f>
        <v>20000000</v>
      </c>
      <c r="E333" s="33">
        <f>IFERROR(__xludf.DUMMYFUNCTION("""COMPUTED_VALUE"""),4.72E7)</f>
        <v>47200000</v>
      </c>
    </row>
    <row r="334">
      <c r="A334" s="31" t="str">
        <f>IFERROR(__xludf.DUMMYFUNCTION("""COMPUTED_VALUE"""),"That Awkward Moment")</f>
        <v>That Awkward Moment</v>
      </c>
      <c r="B334" s="32">
        <f>IFERROR(__xludf.DUMMYFUNCTION("""COMPUTED_VALUE"""),41666.0)</f>
        <v>41666</v>
      </c>
      <c r="C334" s="33" t="str">
        <f>IFERROR(__xludf.DUMMYFUNCTION("""COMPUTED_VALUE"""),"Comedy")</f>
        <v>Comedy</v>
      </c>
      <c r="D334" s="33">
        <f>IFERROR(__xludf.DUMMYFUNCTION("""COMPUTED_VALUE"""),8000000.0)</f>
        <v>8000000</v>
      </c>
      <c r="E334" s="33">
        <f>IFERROR(__xludf.DUMMYFUNCTION("""COMPUTED_VALUE"""),4.05E7)</f>
        <v>40500000</v>
      </c>
    </row>
    <row r="335">
      <c r="A335" s="31" t="str">
        <f>IFERROR(__xludf.DUMMYFUNCTION("""COMPUTED_VALUE"""),"The 33")</f>
        <v>The 33</v>
      </c>
      <c r="B335" s="32">
        <f>IFERROR(__xludf.DUMMYFUNCTION("""COMPUTED_VALUE"""),42222.0)</f>
        <v>42222</v>
      </c>
      <c r="C335" s="33" t="str">
        <f>IFERROR(__xludf.DUMMYFUNCTION("""COMPUTED_VALUE"""),"Drama")</f>
        <v>Drama</v>
      </c>
      <c r="D335" s="33">
        <f>IFERROR(__xludf.DUMMYFUNCTION("""COMPUTED_VALUE"""),2.6E7)</f>
        <v>26000000</v>
      </c>
      <c r="E335" s="33">
        <f>IFERROR(__xludf.DUMMYFUNCTION("""COMPUTED_VALUE"""),2.49E7)</f>
        <v>24900000</v>
      </c>
    </row>
    <row r="336">
      <c r="A336" s="31" t="str">
        <f>IFERROR(__xludf.DUMMYFUNCTION("""COMPUTED_VALUE"""),"The 5th Wave")</f>
        <v>The 5th Wave</v>
      </c>
      <c r="B336" s="32">
        <f>IFERROR(__xludf.DUMMYFUNCTION("""COMPUTED_VALUE"""),42391.0)</f>
        <v>42391</v>
      </c>
      <c r="C336" s="33" t="str">
        <f>IFERROR(__xludf.DUMMYFUNCTION("""COMPUTED_VALUE"""),"Sci-Fi")</f>
        <v>Sci-Fi</v>
      </c>
      <c r="D336" s="33">
        <f>IFERROR(__xludf.DUMMYFUNCTION("""COMPUTED_VALUE"""),3.5E7)</f>
        <v>35000000</v>
      </c>
      <c r="E336" s="33">
        <f>IFERROR(__xludf.DUMMYFUNCTION("""COMPUTED_VALUE"""),1.107E8)</f>
        <v>110700000</v>
      </c>
    </row>
    <row r="337">
      <c r="A337" s="31" t="str">
        <f>IFERROR(__xludf.DUMMYFUNCTION("""COMPUTED_VALUE"""),"The Age of Adaline")</f>
        <v>The Age of Adaline</v>
      </c>
      <c r="B337" s="32">
        <f>IFERROR(__xludf.DUMMYFUNCTION("""COMPUTED_VALUE"""),42118.0)</f>
        <v>42118</v>
      </c>
      <c r="C337" s="33" t="str">
        <f>IFERROR(__xludf.DUMMYFUNCTION("""COMPUTED_VALUE"""),"Romance")</f>
        <v>Romance</v>
      </c>
      <c r="D337" s="33">
        <f>IFERROR(__xludf.DUMMYFUNCTION("""COMPUTED_VALUE"""),2.5E7)</f>
        <v>25000000</v>
      </c>
      <c r="E337" s="33">
        <f>IFERROR(__xludf.DUMMYFUNCTION("""COMPUTED_VALUE"""),6.57E7)</f>
        <v>65700000</v>
      </c>
    </row>
    <row r="338">
      <c r="A338" s="31" t="str">
        <f>IFERROR(__xludf.DUMMYFUNCTION("""COMPUTED_VALUE"""),"The Amazing Spider-Man")</f>
        <v>The Amazing Spider-Man</v>
      </c>
      <c r="B338" s="32">
        <f>IFERROR(__xludf.DUMMYFUNCTION("""COMPUTED_VALUE"""),41093.0)</f>
        <v>41093</v>
      </c>
      <c r="C338" s="33" t="str">
        <f>IFERROR(__xludf.DUMMYFUNCTION("""COMPUTED_VALUE"""),"Action")</f>
        <v>Action</v>
      </c>
      <c r="D338" s="33">
        <f>IFERROR(__xludf.DUMMYFUNCTION("""COMPUTED_VALUE"""),2.3E8)</f>
        <v>230000000</v>
      </c>
      <c r="E338" s="33">
        <f>IFERROR(__xludf.DUMMYFUNCTION("""COMPUTED_VALUE"""),7.579E8)</f>
        <v>757900000</v>
      </c>
    </row>
    <row r="339">
      <c r="A339" s="31" t="str">
        <f>IFERROR(__xludf.DUMMYFUNCTION("""COMPUTED_VALUE"""),"The Angry Birds Movie")</f>
        <v>The Angry Birds Movie</v>
      </c>
      <c r="B339" s="32">
        <f>IFERROR(__xludf.DUMMYFUNCTION("""COMPUTED_VALUE"""),42495.0)</f>
        <v>42495</v>
      </c>
      <c r="C339" s="33" t="str">
        <f>IFERROR(__xludf.DUMMYFUNCTION("""COMPUTED_VALUE"""),"Comedy")</f>
        <v>Comedy</v>
      </c>
      <c r="D339" s="33">
        <f>IFERROR(__xludf.DUMMYFUNCTION("""COMPUTED_VALUE"""),7.3E7)</f>
        <v>73000000</v>
      </c>
      <c r="E339" s="33">
        <f>IFERROR(__xludf.DUMMYFUNCTION("""COMPUTED_VALUE"""),3.469E8)</f>
        <v>346900000</v>
      </c>
    </row>
    <row r="340">
      <c r="A340" s="31" t="str">
        <f>IFERROR(__xludf.DUMMYFUNCTION("""COMPUTED_VALUE"""),"The Best Exotic Marigold Hotel ₪")</f>
        <v>The Best Exotic Marigold Hotel ₪</v>
      </c>
      <c r="B340" s="32">
        <f>IFERROR(__xludf.DUMMYFUNCTION("""COMPUTED_VALUE"""),41033.0)</f>
        <v>41033</v>
      </c>
      <c r="C340" s="33" t="str">
        <f>IFERROR(__xludf.DUMMYFUNCTION("""COMPUTED_VALUE"""),"Comedy")</f>
        <v>Comedy</v>
      </c>
      <c r="D340" s="33">
        <f>IFERROR(__xludf.DUMMYFUNCTION("""COMPUTED_VALUE"""),1.0E7)</f>
        <v>10000000</v>
      </c>
      <c r="E340" s="33">
        <f>IFERROR(__xludf.DUMMYFUNCTION("""COMPUTED_VALUE"""),1.368E8)</f>
        <v>136800000</v>
      </c>
    </row>
    <row r="341">
      <c r="A341" s="31" t="str">
        <f>IFERROR(__xludf.DUMMYFUNCTION("""COMPUTED_VALUE"""),"The Big Short")</f>
        <v>The Big Short</v>
      </c>
      <c r="B341" s="32">
        <f>IFERROR(__xludf.DUMMYFUNCTION("""COMPUTED_VALUE"""),42349.0)</f>
        <v>42349</v>
      </c>
      <c r="C341" s="33" t="str">
        <f>IFERROR(__xludf.DUMMYFUNCTION("""COMPUTED_VALUE"""),"Biography")</f>
        <v>Biography</v>
      </c>
      <c r="D341" s="33">
        <f>IFERROR(__xludf.DUMMYFUNCTION("""COMPUTED_VALUE"""),2.8E7)</f>
        <v>28000000</v>
      </c>
      <c r="E341" s="33">
        <f>IFERROR(__xludf.DUMMYFUNCTION("""COMPUTED_VALUE"""),1.3330000000000001E8)</f>
        <v>133300000</v>
      </c>
    </row>
    <row r="342">
      <c r="A342" s="31" t="str">
        <f>IFERROR(__xludf.DUMMYFUNCTION("""COMPUTED_VALUE"""),"The Bling Ring")</f>
        <v>The Bling Ring</v>
      </c>
      <c r="B342" s="32">
        <f>IFERROR(__xludf.DUMMYFUNCTION("""COMPUTED_VALUE"""),41439.0)</f>
        <v>41439</v>
      </c>
      <c r="C342" s="33" t="str">
        <f>IFERROR(__xludf.DUMMYFUNCTION("""COMPUTED_VALUE"""),"Comedy")</f>
        <v>Comedy</v>
      </c>
      <c r="D342" s="33">
        <f>IFERROR(__xludf.DUMMYFUNCTION("""COMPUTED_VALUE"""),8000000.0)</f>
        <v>8000000</v>
      </c>
      <c r="E342" s="33">
        <f>IFERROR(__xludf.DUMMYFUNCTION("""COMPUTED_VALUE"""),1.91E7)</f>
        <v>19100000</v>
      </c>
    </row>
    <row r="343">
      <c r="A343" s="31" t="str">
        <f>IFERROR(__xludf.DUMMYFUNCTION("""COMPUTED_VALUE"""),"The Book of Life")</f>
        <v>The Book of Life</v>
      </c>
      <c r="B343" s="32">
        <f>IFERROR(__xludf.DUMMYFUNCTION("""COMPUTED_VALUE"""),41924.0)</f>
        <v>41924</v>
      </c>
      <c r="C343" s="33" t="str">
        <f>IFERROR(__xludf.DUMMYFUNCTION("""COMPUTED_VALUE"""),"Family")</f>
        <v>Family</v>
      </c>
      <c r="D343" s="33">
        <f>IFERROR(__xludf.DUMMYFUNCTION("""COMPUTED_VALUE"""),5.0E7)</f>
        <v>50000000</v>
      </c>
      <c r="E343" s="33">
        <f>IFERROR(__xludf.DUMMYFUNCTION("""COMPUTED_VALUE"""),9.98E7)</f>
        <v>99800000</v>
      </c>
    </row>
    <row r="344">
      <c r="A344" s="31" t="str">
        <f>IFERROR(__xludf.DUMMYFUNCTION("""COMPUTED_VALUE"""),"The Boss")</f>
        <v>The Boss</v>
      </c>
      <c r="B344" s="32">
        <f>IFERROR(__xludf.DUMMYFUNCTION("""COMPUTED_VALUE"""),42468.0)</f>
        <v>42468</v>
      </c>
      <c r="C344" s="33" t="str">
        <f>IFERROR(__xludf.DUMMYFUNCTION("""COMPUTED_VALUE"""),"Comedy")</f>
        <v>Comedy</v>
      </c>
      <c r="D344" s="33">
        <f>IFERROR(__xludf.DUMMYFUNCTION("""COMPUTED_VALUE"""),2.9E7)</f>
        <v>29000000</v>
      </c>
      <c r="E344" s="33">
        <f>IFERROR(__xludf.DUMMYFUNCTION("""COMPUTED_VALUE"""),7.86E7)</f>
        <v>78600000</v>
      </c>
    </row>
    <row r="345">
      <c r="A345" s="31" t="str">
        <f>IFERROR(__xludf.DUMMYFUNCTION("""COMPUTED_VALUE"""),"The Bourne Legacy")</f>
        <v>The Bourne Legacy</v>
      </c>
      <c r="B345" s="32">
        <f>IFERROR(__xludf.DUMMYFUNCTION("""COMPUTED_VALUE"""),41131.0)</f>
        <v>41131</v>
      </c>
      <c r="C345" s="33" t="str">
        <f>IFERROR(__xludf.DUMMYFUNCTION("""COMPUTED_VALUE"""),"Action")</f>
        <v>Action</v>
      </c>
      <c r="D345" s="33">
        <f>IFERROR(__xludf.DUMMYFUNCTION("""COMPUTED_VALUE"""),1.25E8)</f>
        <v>125000000</v>
      </c>
      <c r="E345" s="33">
        <f>IFERROR(__xludf.DUMMYFUNCTION("""COMPUTED_VALUE"""),2.761E8)</f>
        <v>276100000</v>
      </c>
    </row>
    <row r="346">
      <c r="A346" s="31" t="str">
        <f>IFERROR(__xludf.DUMMYFUNCTION("""COMPUTED_VALUE"""),"The Boxtrolls")</f>
        <v>The Boxtrolls</v>
      </c>
      <c r="B346" s="32">
        <f>IFERROR(__xludf.DUMMYFUNCTION("""COMPUTED_VALUE"""),41882.0)</f>
        <v>41882</v>
      </c>
      <c r="C346" s="33" t="str">
        <f>IFERROR(__xludf.DUMMYFUNCTION("""COMPUTED_VALUE"""),"Family")</f>
        <v>Family</v>
      </c>
      <c r="D346" s="33">
        <f>IFERROR(__xludf.DUMMYFUNCTION("""COMPUTED_VALUE"""),6.0E7)</f>
        <v>60000000</v>
      </c>
      <c r="E346" s="33">
        <f>IFERROR(__xludf.DUMMYFUNCTION("""COMPUTED_VALUE"""),1.093E8)</f>
        <v>109300000</v>
      </c>
    </row>
    <row r="347">
      <c r="A347" s="31" t="str">
        <f>IFERROR(__xludf.DUMMYFUNCTION("""COMPUTED_VALUE"""),"The Boy")</f>
        <v>The Boy</v>
      </c>
      <c r="B347" s="32">
        <f>IFERROR(__xludf.DUMMYFUNCTION("""COMPUTED_VALUE"""),42391.0)</f>
        <v>42391</v>
      </c>
      <c r="C347" s="33" t="str">
        <f>IFERROR(__xludf.DUMMYFUNCTION("""COMPUTED_VALUE"""),"Horror")</f>
        <v>Horror</v>
      </c>
      <c r="D347" s="33">
        <f>IFERROR(__xludf.DUMMYFUNCTION("""COMPUTED_VALUE"""),1.0E7)</f>
        <v>10000000</v>
      </c>
      <c r="E347" s="33">
        <f>IFERROR(__xludf.DUMMYFUNCTION("""COMPUTED_VALUE"""),6.42E7)</f>
        <v>64200000</v>
      </c>
    </row>
    <row r="348">
      <c r="A348" s="31" t="str">
        <f>IFERROR(__xludf.DUMMYFUNCTION("""COMPUTED_VALUE"""),"The Butler")</f>
        <v>The Butler</v>
      </c>
      <c r="B348" s="32">
        <f>IFERROR(__xludf.DUMMYFUNCTION("""COMPUTED_VALUE"""),41502.0)</f>
        <v>41502</v>
      </c>
      <c r="C348" s="33" t="str">
        <f>IFERROR(__xludf.DUMMYFUNCTION("""COMPUTED_VALUE"""),"Drama")</f>
        <v>Drama</v>
      </c>
      <c r="D348" s="33">
        <f>IFERROR(__xludf.DUMMYFUNCTION("""COMPUTED_VALUE"""),3.0E7)</f>
        <v>30000000</v>
      </c>
      <c r="E348" s="33">
        <f>IFERROR(__xludf.DUMMYFUNCTION("""COMPUTED_VALUE"""),1.766E8)</f>
        <v>176600000</v>
      </c>
    </row>
    <row r="349">
      <c r="A349" s="31" t="str">
        <f>IFERROR(__xludf.DUMMYFUNCTION("""COMPUTED_VALUE"""),"The Cabin in the Woods")</f>
        <v>The Cabin in the Woods</v>
      </c>
      <c r="B349" s="32">
        <f>IFERROR(__xludf.DUMMYFUNCTION("""COMPUTED_VALUE"""),41012.0)</f>
        <v>41012</v>
      </c>
      <c r="C349" s="33" t="str">
        <f>IFERROR(__xludf.DUMMYFUNCTION("""COMPUTED_VALUE"""),"Horror")</f>
        <v>Horror</v>
      </c>
      <c r="D349" s="33">
        <f>IFERROR(__xludf.DUMMYFUNCTION("""COMPUTED_VALUE"""),3.0E7)</f>
        <v>30000000</v>
      </c>
      <c r="E349" s="33">
        <f>IFERROR(__xludf.DUMMYFUNCTION("""COMPUTED_VALUE"""),6.65E7)</f>
        <v>66500000</v>
      </c>
    </row>
    <row r="350">
      <c r="A350" s="31" t="str">
        <f>IFERROR(__xludf.DUMMYFUNCTION("""COMPUTED_VALUE"""),"The Call")</f>
        <v>The Call</v>
      </c>
      <c r="B350" s="32">
        <f>IFERROR(__xludf.DUMMYFUNCTION("""COMPUTED_VALUE"""),41348.0)</f>
        <v>41348</v>
      </c>
      <c r="C350" s="33" t="str">
        <f>IFERROR(__xludf.DUMMYFUNCTION("""COMPUTED_VALUE"""),"Mystery")</f>
        <v>Mystery</v>
      </c>
      <c r="D350" s="33">
        <f>IFERROR(__xludf.DUMMYFUNCTION("""COMPUTED_VALUE"""),1.3E7)</f>
        <v>13000000</v>
      </c>
      <c r="E350" s="33">
        <f>IFERROR(__xludf.DUMMYFUNCTION("""COMPUTED_VALUE"""),6.86E7)</f>
        <v>68600000</v>
      </c>
    </row>
    <row r="351">
      <c r="A351" s="31" t="str">
        <f>IFERROR(__xludf.DUMMYFUNCTION("""COMPUTED_VALUE"""),"The Campaign")</f>
        <v>The Campaign</v>
      </c>
      <c r="B351" s="32">
        <f>IFERROR(__xludf.DUMMYFUNCTION("""COMPUTED_VALUE"""),41131.0)</f>
        <v>41131</v>
      </c>
      <c r="C351" s="33" t="str">
        <f>IFERROR(__xludf.DUMMYFUNCTION("""COMPUTED_VALUE"""),"Comedy")</f>
        <v>Comedy</v>
      </c>
      <c r="D351" s="33">
        <f>IFERROR(__xludf.DUMMYFUNCTION("""COMPUTED_VALUE"""),9.5E7)</f>
        <v>95000000</v>
      </c>
      <c r="E351" s="33">
        <f>IFERROR(__xludf.DUMMYFUNCTION("""COMPUTED_VALUE"""),1.049E8)</f>
        <v>104900000</v>
      </c>
    </row>
    <row r="352">
      <c r="A352" s="31" t="str">
        <f>IFERROR(__xludf.DUMMYFUNCTION("""COMPUTED_VALUE"""),"The Cold Light of Day")</f>
        <v>The Cold Light of Day</v>
      </c>
      <c r="B352" s="32">
        <f>IFERROR(__xludf.DUMMYFUNCTION("""COMPUTED_VALUE"""),41159.0)</f>
        <v>41159</v>
      </c>
      <c r="C352" s="33" t="str">
        <f>IFERROR(__xludf.DUMMYFUNCTION("""COMPUTED_VALUE"""),"Action")</f>
        <v>Action</v>
      </c>
      <c r="D352" s="33">
        <f>IFERROR(__xludf.DUMMYFUNCTION("""COMPUTED_VALUE"""),2.0E7)</f>
        <v>20000000</v>
      </c>
      <c r="E352" s="33">
        <f>IFERROR(__xludf.DUMMYFUNCTION("""COMPUTED_VALUE"""),1.69E7)</f>
        <v>16900000</v>
      </c>
    </row>
    <row r="353">
      <c r="A353" s="31" t="str">
        <f>IFERROR(__xludf.DUMMYFUNCTION("""COMPUTED_VALUE"""),"The Collection")</f>
        <v>The Collection</v>
      </c>
      <c r="B353" s="32">
        <f>IFERROR(__xludf.DUMMYFUNCTION("""COMPUTED_VALUE"""),41243.0)</f>
        <v>41243</v>
      </c>
      <c r="C353" s="33" t="str">
        <f>IFERROR(__xludf.DUMMYFUNCTION("""COMPUTED_VALUE"""),"Horror")</f>
        <v>Horror</v>
      </c>
      <c r="D353" s="33">
        <f>IFERROR(__xludf.DUMMYFUNCTION("""COMPUTED_VALUE"""),1.0E7)</f>
        <v>10000000</v>
      </c>
      <c r="E353" s="33">
        <f>IFERROR(__xludf.DUMMYFUNCTION("""COMPUTED_VALUE"""),8900000.0)</f>
        <v>8900000</v>
      </c>
    </row>
    <row r="354">
      <c r="A354" s="31" t="str">
        <f>IFERROR(__xludf.DUMMYFUNCTION("""COMPUTED_VALUE"""),"The Conjuring")</f>
        <v>The Conjuring</v>
      </c>
      <c r="B354" s="32">
        <f>IFERROR(__xludf.DUMMYFUNCTION("""COMPUTED_VALUE"""),41474.0)</f>
        <v>41474</v>
      </c>
      <c r="C354" s="33" t="str">
        <f>IFERROR(__xludf.DUMMYFUNCTION("""COMPUTED_VALUE"""),"Thriller")</f>
        <v>Thriller</v>
      </c>
      <c r="D354" s="33">
        <f>IFERROR(__xludf.DUMMYFUNCTION("""COMPUTED_VALUE"""),2.0E7)</f>
        <v>20000000</v>
      </c>
      <c r="E354" s="33">
        <f>IFERROR(__xludf.DUMMYFUNCTION("""COMPUTED_VALUE"""),3.18E8)</f>
        <v>318000000</v>
      </c>
    </row>
    <row r="355">
      <c r="A355" s="31" t="str">
        <f>IFERROR(__xludf.DUMMYFUNCTION("""COMPUTED_VALUE"""),"The Conjuring 2")</f>
        <v>The Conjuring 2</v>
      </c>
      <c r="B355" s="32">
        <f>IFERROR(__xludf.DUMMYFUNCTION("""COMPUTED_VALUE"""),42528.0)</f>
        <v>42528</v>
      </c>
      <c r="C355" s="33" t="str">
        <f>IFERROR(__xludf.DUMMYFUNCTION("""COMPUTED_VALUE"""),"Horror")</f>
        <v>Horror</v>
      </c>
      <c r="D355" s="33">
        <f>IFERROR(__xludf.DUMMYFUNCTION("""COMPUTED_VALUE"""),4.0E7)</f>
        <v>40000000</v>
      </c>
      <c r="E355" s="33">
        <f>IFERROR(__xludf.DUMMYFUNCTION("""COMPUTED_VALUE"""),3.195E8)</f>
        <v>319500000</v>
      </c>
    </row>
    <row r="356">
      <c r="A356" s="31" t="str">
        <f>IFERROR(__xludf.DUMMYFUNCTION("""COMPUTED_VALUE"""),"The Croods")</f>
        <v>The Croods</v>
      </c>
      <c r="B356" s="32">
        <f>IFERROR(__xludf.DUMMYFUNCTION("""COMPUTED_VALUE"""),41355.0)</f>
        <v>41355</v>
      </c>
      <c r="C356" s="33" t="str">
        <f>IFERROR(__xludf.DUMMYFUNCTION("""COMPUTED_VALUE"""),"Adventure")</f>
        <v>Adventure</v>
      </c>
      <c r="D356" s="33">
        <f>IFERROR(__xludf.DUMMYFUNCTION("""COMPUTED_VALUE"""),1.35E8)</f>
        <v>135000000</v>
      </c>
      <c r="E356" s="33">
        <f>IFERROR(__xludf.DUMMYFUNCTION("""COMPUTED_VALUE"""),5.872E8)</f>
        <v>587200000</v>
      </c>
    </row>
    <row r="357">
      <c r="A357" s="31" t="str">
        <f>IFERROR(__xludf.DUMMYFUNCTION("""COMPUTED_VALUE"""),"The Danish Girl")</f>
        <v>The Danish Girl</v>
      </c>
      <c r="B357" s="32">
        <f>IFERROR(__xludf.DUMMYFUNCTION("""COMPUTED_VALUE"""),42252.0)</f>
        <v>42252</v>
      </c>
      <c r="C357" s="33" t="str">
        <f>IFERROR(__xludf.DUMMYFUNCTION("""COMPUTED_VALUE"""),"Drama")</f>
        <v>Drama</v>
      </c>
      <c r="D357" s="33">
        <f>IFERROR(__xludf.DUMMYFUNCTION("""COMPUTED_VALUE"""),1.5E7)</f>
        <v>15000000</v>
      </c>
      <c r="E357" s="33">
        <f>IFERROR(__xludf.DUMMYFUNCTION("""COMPUTED_VALUE"""),6.42E7)</f>
        <v>64200000</v>
      </c>
    </row>
    <row r="358">
      <c r="A358" s="31" t="str">
        <f>IFERROR(__xludf.DUMMYFUNCTION("""COMPUTED_VALUE"""),"The Darkness")</f>
        <v>The Darkness</v>
      </c>
      <c r="B358" s="32">
        <f>IFERROR(__xludf.DUMMYFUNCTION("""COMPUTED_VALUE"""),42503.0)</f>
        <v>42503</v>
      </c>
      <c r="C358" s="33" t="str">
        <f>IFERROR(__xludf.DUMMYFUNCTION("""COMPUTED_VALUE"""),"Horror")</f>
        <v>Horror</v>
      </c>
      <c r="D358" s="33">
        <f>IFERROR(__xludf.DUMMYFUNCTION("""COMPUTED_VALUE"""),4000000.0)</f>
        <v>4000000</v>
      </c>
      <c r="E358" s="33">
        <f>IFERROR(__xludf.DUMMYFUNCTION("""COMPUTED_VALUE"""),1.09E7)</f>
        <v>10900000</v>
      </c>
    </row>
    <row r="359">
      <c r="A359" s="31" t="str">
        <f>IFERROR(__xludf.DUMMYFUNCTION("""COMPUTED_VALUE"""),"The Devil Inside")</f>
        <v>The Devil Inside</v>
      </c>
      <c r="B359" s="32">
        <f>IFERROR(__xludf.DUMMYFUNCTION("""COMPUTED_VALUE"""),40914.0)</f>
        <v>40914</v>
      </c>
      <c r="C359" s="33" t="str">
        <f>IFERROR(__xludf.DUMMYFUNCTION("""COMPUTED_VALUE"""),"Horror")</f>
        <v>Horror</v>
      </c>
      <c r="D359" s="33">
        <f>IFERROR(__xludf.DUMMYFUNCTION("""COMPUTED_VALUE"""),1000000.0)</f>
        <v>1000000</v>
      </c>
      <c r="E359" s="33">
        <f>IFERROR(__xludf.DUMMYFUNCTION("""COMPUTED_VALUE"""),1.018E8)</f>
        <v>101800000</v>
      </c>
    </row>
    <row r="360">
      <c r="A360" s="31" t="str">
        <f>IFERROR(__xludf.DUMMYFUNCTION("""COMPUTED_VALUE"""),"The Dictator")</f>
        <v>The Dictator</v>
      </c>
      <c r="B360" s="32">
        <f>IFERROR(__xludf.DUMMYFUNCTION("""COMPUTED_VALUE"""),41045.0)</f>
        <v>41045</v>
      </c>
      <c r="C360" s="33" t="str">
        <f>IFERROR(__xludf.DUMMYFUNCTION("""COMPUTED_VALUE"""),"Comedy")</f>
        <v>Comedy</v>
      </c>
      <c r="D360" s="33">
        <f>IFERROR(__xludf.DUMMYFUNCTION("""COMPUTED_VALUE"""),6.5E7)</f>
        <v>65000000</v>
      </c>
      <c r="E360" s="33">
        <f>IFERROR(__xludf.DUMMYFUNCTION("""COMPUTED_VALUE"""),1.794E8)</f>
        <v>179400000</v>
      </c>
    </row>
    <row r="361">
      <c r="A361" s="31" t="str">
        <f>IFERROR(__xludf.DUMMYFUNCTION("""COMPUTED_VALUE"""),"The Divergent Series: Allegiant")</f>
        <v>The Divergent Series: Allegiant</v>
      </c>
      <c r="B361" s="32">
        <f>IFERROR(__xludf.DUMMYFUNCTION("""COMPUTED_VALUE"""),42447.0)</f>
        <v>42447</v>
      </c>
      <c r="C361" s="33" t="str">
        <f>IFERROR(__xludf.DUMMYFUNCTION("""COMPUTED_VALUE"""),"Adventure")</f>
        <v>Adventure</v>
      </c>
      <c r="D361" s="33">
        <f>IFERROR(__xludf.DUMMYFUNCTION("""COMPUTED_VALUE"""),1.1E8)</f>
        <v>110000000</v>
      </c>
      <c r="E361" s="33">
        <f>IFERROR(__xludf.DUMMYFUNCTION("""COMPUTED_VALUE"""),1.792E8)</f>
        <v>179200000</v>
      </c>
    </row>
    <row r="362">
      <c r="A362" s="31" t="str">
        <f>IFERROR(__xludf.DUMMYFUNCTION("""COMPUTED_VALUE"""),"The Divergent Series: Insurgent")</f>
        <v>The Divergent Series: Insurgent</v>
      </c>
      <c r="B362" s="32">
        <f>IFERROR(__xludf.DUMMYFUNCTION("""COMPUTED_VALUE"""),42082.0)</f>
        <v>42082</v>
      </c>
      <c r="C362" s="33" t="str">
        <f>IFERROR(__xludf.DUMMYFUNCTION("""COMPUTED_VALUE"""),"Sci-Fi")</f>
        <v>Sci-Fi</v>
      </c>
      <c r="D362" s="33">
        <f>IFERROR(__xludf.DUMMYFUNCTION("""COMPUTED_VALUE"""),1.1E8)</f>
        <v>110000000</v>
      </c>
      <c r="E362" s="33">
        <f>IFERROR(__xludf.DUMMYFUNCTION("""COMPUTED_VALUE"""),2.973E8)</f>
        <v>297300000</v>
      </c>
    </row>
    <row r="363">
      <c r="A363" s="31" t="str">
        <f>IFERROR(__xludf.DUMMYFUNCTION("""COMPUTED_VALUE"""),"The Drop")</f>
        <v>The Drop</v>
      </c>
      <c r="B363" s="32">
        <f>IFERROR(__xludf.DUMMYFUNCTION("""COMPUTED_VALUE"""),41894.0)</f>
        <v>41894</v>
      </c>
      <c r="C363" s="33" t="str">
        <f>IFERROR(__xludf.DUMMYFUNCTION("""COMPUTED_VALUE"""),"Drama")</f>
        <v>Drama</v>
      </c>
      <c r="D363" s="33">
        <f>IFERROR(__xludf.DUMMYFUNCTION("""COMPUTED_VALUE"""),1.26E7)</f>
        <v>12600000</v>
      </c>
      <c r="E363" s="33">
        <f>IFERROR(__xludf.DUMMYFUNCTION("""COMPUTED_VALUE"""),1.87E7)</f>
        <v>18700000</v>
      </c>
    </row>
    <row r="364">
      <c r="A364" s="31" t="str">
        <f>IFERROR(__xludf.DUMMYFUNCTION("""COMPUTED_VALUE"""),"The Duff")</f>
        <v>The Duff</v>
      </c>
      <c r="B364" s="32">
        <f>IFERROR(__xludf.DUMMYFUNCTION("""COMPUTED_VALUE"""),42047.0)</f>
        <v>42047</v>
      </c>
      <c r="C364" s="33" t="str">
        <f>IFERROR(__xludf.DUMMYFUNCTION("""COMPUTED_VALUE"""),"Comedy")</f>
        <v>Comedy</v>
      </c>
      <c r="D364" s="33">
        <f>IFERROR(__xludf.DUMMYFUNCTION("""COMPUTED_VALUE"""),8500000.0)</f>
        <v>8500000</v>
      </c>
      <c r="E364" s="33">
        <f>IFERROR(__xludf.DUMMYFUNCTION("""COMPUTED_VALUE"""),4.35E7)</f>
        <v>43500000</v>
      </c>
    </row>
    <row r="365">
      <c r="A365" s="31" t="str">
        <f>IFERROR(__xludf.DUMMYFUNCTION("""COMPUTED_VALUE"""),"The East")</f>
        <v>The East</v>
      </c>
      <c r="B365" s="32">
        <f>IFERROR(__xludf.DUMMYFUNCTION("""COMPUTED_VALUE"""),41425.0)</f>
        <v>41425</v>
      </c>
      <c r="C365" s="33" t="str">
        <f>IFERROR(__xludf.DUMMYFUNCTION("""COMPUTED_VALUE"""),"Crime")</f>
        <v>Crime</v>
      </c>
      <c r="D365" s="33">
        <f>IFERROR(__xludf.DUMMYFUNCTION("""COMPUTED_VALUE"""),6500000.0)</f>
        <v>6500000</v>
      </c>
      <c r="E365" s="33">
        <f>IFERROR(__xludf.DUMMYFUNCTION("""COMPUTED_VALUE"""),2400000.0)</f>
        <v>2400000</v>
      </c>
    </row>
    <row r="366">
      <c r="A366" s="31" t="str">
        <f>IFERROR(__xludf.DUMMYFUNCTION("""COMPUTED_VALUE"""),"The Equalizer")</f>
        <v>The Equalizer</v>
      </c>
      <c r="B366" s="32">
        <f>IFERROR(__xludf.DUMMYFUNCTION("""COMPUTED_VALUE"""),41889.0)</f>
        <v>41889</v>
      </c>
      <c r="C366" s="33" t="str">
        <f>IFERROR(__xludf.DUMMYFUNCTION("""COMPUTED_VALUE"""),"Thriller")</f>
        <v>Thriller</v>
      </c>
      <c r="D366" s="33">
        <f>IFERROR(__xludf.DUMMYFUNCTION("""COMPUTED_VALUE"""),5.5E7)</f>
        <v>55000000</v>
      </c>
      <c r="E366" s="33">
        <f>IFERROR(__xludf.DUMMYFUNCTION("""COMPUTED_VALUE"""),1.923E8)</f>
        <v>192300000</v>
      </c>
    </row>
    <row r="367">
      <c r="A367" s="31" t="str">
        <f>IFERROR(__xludf.DUMMYFUNCTION("""COMPUTED_VALUE"""),"The Expendables 2")</f>
        <v>The Expendables 2</v>
      </c>
      <c r="B367" s="32">
        <f>IFERROR(__xludf.DUMMYFUNCTION("""COMPUTED_VALUE"""),41138.0)</f>
        <v>41138</v>
      </c>
      <c r="C367" s="33" t="str">
        <f>IFERROR(__xludf.DUMMYFUNCTION("""COMPUTED_VALUE"""),"Action")</f>
        <v>Action</v>
      </c>
      <c r="D367" s="33">
        <f>IFERROR(__xludf.DUMMYFUNCTION("""COMPUTED_VALUE"""),1.0E8)</f>
        <v>100000000</v>
      </c>
      <c r="E367" s="33">
        <f>IFERROR(__xludf.DUMMYFUNCTION("""COMPUTED_VALUE"""),3.054E8)</f>
        <v>305400000</v>
      </c>
    </row>
    <row r="368">
      <c r="A368" s="31" t="str">
        <f>IFERROR(__xludf.DUMMYFUNCTION("""COMPUTED_VALUE"""),"The Expendables 3")</f>
        <v>The Expendables 3</v>
      </c>
      <c r="B368" s="32">
        <f>IFERROR(__xludf.DUMMYFUNCTION("""COMPUTED_VALUE"""),41855.0)</f>
        <v>41855</v>
      </c>
      <c r="C368" s="33" t="str">
        <f>IFERROR(__xludf.DUMMYFUNCTION("""COMPUTED_VALUE"""),"Action")</f>
        <v>Action</v>
      </c>
      <c r="D368" s="33">
        <f>IFERROR(__xludf.DUMMYFUNCTION("""COMPUTED_VALUE"""),9.0E7)</f>
        <v>90000000</v>
      </c>
      <c r="E368" s="33">
        <f>IFERROR(__xludf.DUMMYFUNCTION("""COMPUTED_VALUE"""),2.062E8)</f>
        <v>206200000</v>
      </c>
    </row>
    <row r="369">
      <c r="A369" s="31" t="str">
        <f>IFERROR(__xludf.DUMMYFUNCTION("""COMPUTED_VALUE"""),"The Family")</f>
        <v>The Family</v>
      </c>
      <c r="B369" s="32">
        <f>IFERROR(__xludf.DUMMYFUNCTION("""COMPUTED_VALUE"""),41530.0)</f>
        <v>41530</v>
      </c>
      <c r="C369" s="33" t="str">
        <f>IFERROR(__xludf.DUMMYFUNCTION("""COMPUTED_VALUE"""),"Crime")</f>
        <v>Crime</v>
      </c>
      <c r="D369" s="33">
        <f>IFERROR(__xludf.DUMMYFUNCTION("""COMPUTED_VALUE"""),3.0E7)</f>
        <v>30000000</v>
      </c>
      <c r="E369" s="33">
        <f>IFERROR(__xludf.DUMMYFUNCTION("""COMPUTED_VALUE"""),7.84E7)</f>
        <v>78400000</v>
      </c>
    </row>
    <row r="370">
      <c r="A370" s="31" t="str">
        <f>IFERROR(__xludf.DUMMYFUNCTION("""COMPUTED_VALUE"""),"The Fault in Our Stars")</f>
        <v>The Fault in Our Stars</v>
      </c>
      <c r="B370" s="32">
        <f>IFERROR(__xludf.DUMMYFUNCTION("""COMPUTED_VALUE"""),41775.0)</f>
        <v>41775</v>
      </c>
      <c r="C370" s="33" t="str">
        <f>IFERROR(__xludf.DUMMYFUNCTION("""COMPUTED_VALUE"""),"Drama")</f>
        <v>Drama</v>
      </c>
      <c r="D370" s="33">
        <f>IFERROR(__xludf.DUMMYFUNCTION("""COMPUTED_VALUE"""),1.3E7)</f>
        <v>13000000</v>
      </c>
      <c r="E370" s="33">
        <f>IFERROR(__xludf.DUMMYFUNCTION("""COMPUTED_VALUE"""),3.072E8)</f>
        <v>307200000</v>
      </c>
    </row>
    <row r="371">
      <c r="A371" s="31" t="str">
        <f>IFERROR(__xludf.DUMMYFUNCTION("""COMPUTED_VALUE"""),"The Five-Year Engagement")</f>
        <v>The Five-Year Engagement</v>
      </c>
      <c r="B371" s="32">
        <f>IFERROR(__xludf.DUMMYFUNCTION("""COMPUTED_VALUE"""),41026.0)</f>
        <v>41026</v>
      </c>
      <c r="C371" s="33" t="str">
        <f>IFERROR(__xludf.DUMMYFUNCTION("""COMPUTED_VALUE"""),"Comedy")</f>
        <v>Comedy</v>
      </c>
      <c r="D371" s="33">
        <f>IFERROR(__xludf.DUMMYFUNCTION("""COMPUTED_VALUE"""),3.0E7)</f>
        <v>30000000</v>
      </c>
      <c r="E371" s="33">
        <f>IFERROR(__xludf.DUMMYFUNCTION("""COMPUTED_VALUE"""),5.39E7)</f>
        <v>53900000</v>
      </c>
    </row>
    <row r="372">
      <c r="A372" s="31" t="str">
        <f>IFERROR(__xludf.DUMMYFUNCTION("""COMPUTED_VALUE"""),"The Forest")</f>
        <v>The Forest</v>
      </c>
      <c r="B372" s="32">
        <f>IFERROR(__xludf.DUMMYFUNCTION("""COMPUTED_VALUE"""),42377.0)</f>
        <v>42377</v>
      </c>
      <c r="C372" s="33" t="str">
        <f>IFERROR(__xludf.DUMMYFUNCTION("""COMPUTED_VALUE"""),"Horror")</f>
        <v>Horror</v>
      </c>
      <c r="D372" s="33">
        <f>IFERROR(__xludf.DUMMYFUNCTION("""COMPUTED_VALUE"""),1.0E7)</f>
        <v>10000000</v>
      </c>
      <c r="E372" s="33">
        <f>IFERROR(__xludf.DUMMYFUNCTION("""COMPUTED_VALUE"""),3.76E7)</f>
        <v>37600000</v>
      </c>
    </row>
    <row r="373">
      <c r="A373" s="31" t="str">
        <f>IFERROR(__xludf.DUMMYFUNCTION("""COMPUTED_VALUE"""),"The Gift")</f>
        <v>The Gift</v>
      </c>
      <c r="B373" s="32">
        <f>IFERROR(__xludf.DUMMYFUNCTION("""COMPUTED_VALUE"""),42215.0)</f>
        <v>42215</v>
      </c>
      <c r="C373" s="33" t="str">
        <f>IFERROR(__xludf.DUMMYFUNCTION("""COMPUTED_VALUE"""),"Thriller")</f>
        <v>Thriller</v>
      </c>
      <c r="D373" s="33">
        <f>IFERROR(__xludf.DUMMYFUNCTION("""COMPUTED_VALUE"""),5000000.0)</f>
        <v>5000000</v>
      </c>
      <c r="E373" s="33">
        <f>IFERROR(__xludf.DUMMYFUNCTION("""COMPUTED_VALUE"""),5.9E7)</f>
        <v>59000000</v>
      </c>
    </row>
    <row r="374">
      <c r="A374" s="31" t="str">
        <f>IFERROR(__xludf.DUMMYFUNCTION("""COMPUTED_VALUE"""),"The Giver")</f>
        <v>The Giver</v>
      </c>
      <c r="B374" s="32">
        <f>IFERROR(__xludf.DUMMYFUNCTION("""COMPUTED_VALUE"""),41862.0)</f>
        <v>41862</v>
      </c>
      <c r="C374" s="33" t="str">
        <f>IFERROR(__xludf.DUMMYFUNCTION("""COMPUTED_VALUE"""),"Sci-Fi")</f>
        <v>Sci-Fi</v>
      </c>
      <c r="D374" s="33">
        <f>IFERROR(__xludf.DUMMYFUNCTION("""COMPUTED_VALUE"""),2.5E7)</f>
        <v>25000000</v>
      </c>
      <c r="E374" s="33">
        <f>IFERROR(__xludf.DUMMYFUNCTION("""COMPUTED_VALUE"""),6.7E7)</f>
        <v>67000000</v>
      </c>
    </row>
    <row r="375">
      <c r="A375" s="31" t="str">
        <f>IFERROR(__xludf.DUMMYFUNCTION("""COMPUTED_VALUE"""),"The Grand Budapest Hotel")</f>
        <v>The Grand Budapest Hotel</v>
      </c>
      <c r="B375" s="32">
        <f>IFERROR(__xludf.DUMMYFUNCTION("""COMPUTED_VALUE"""),41676.0)</f>
        <v>41676</v>
      </c>
      <c r="C375" s="33" t="str">
        <f>IFERROR(__xludf.DUMMYFUNCTION("""COMPUTED_VALUE"""),"Comedy")</f>
        <v>Comedy</v>
      </c>
      <c r="D375" s="33">
        <f>IFERROR(__xludf.DUMMYFUNCTION("""COMPUTED_VALUE"""),2.3E7)</f>
        <v>23000000</v>
      </c>
      <c r="E375" s="33">
        <f>IFERROR(__xludf.DUMMYFUNCTION("""COMPUTED_VALUE"""),1.748E8)</f>
        <v>174800000</v>
      </c>
    </row>
    <row r="376">
      <c r="A376" s="31" t="str">
        <f>IFERROR(__xludf.DUMMYFUNCTION("""COMPUTED_VALUE"""),"The Great Gatsby")</f>
        <v>The Great Gatsby</v>
      </c>
      <c r="B376" s="32">
        <f>IFERROR(__xludf.DUMMYFUNCTION("""COMPUTED_VALUE"""),41404.0)</f>
        <v>41404</v>
      </c>
      <c r="C376" s="33" t="str">
        <f>IFERROR(__xludf.DUMMYFUNCTION("""COMPUTED_VALUE"""),"Drama")</f>
        <v>Drama</v>
      </c>
      <c r="D376" s="33">
        <f>IFERROR(__xludf.DUMMYFUNCTION("""COMPUTED_VALUE"""),1.05E8)</f>
        <v>105000000</v>
      </c>
      <c r="E376" s="33">
        <f>IFERROR(__xludf.DUMMYFUNCTION("""COMPUTED_VALUE"""),3.51E8)</f>
        <v>351000000</v>
      </c>
    </row>
    <row r="377">
      <c r="A377" s="31" t="str">
        <f>IFERROR(__xludf.DUMMYFUNCTION("""COMPUTED_VALUE"""),"The Grey")</f>
        <v>The Grey</v>
      </c>
      <c r="B377" s="32">
        <f>IFERROR(__xludf.DUMMYFUNCTION("""COMPUTED_VALUE"""),40935.0)</f>
        <v>40935</v>
      </c>
      <c r="C377" s="33" t="str">
        <f>IFERROR(__xludf.DUMMYFUNCTION("""COMPUTED_VALUE"""),"Action")</f>
        <v>Action</v>
      </c>
      <c r="D377" s="33">
        <f>IFERROR(__xludf.DUMMYFUNCTION("""COMPUTED_VALUE"""),2.5E7)</f>
        <v>25000000</v>
      </c>
      <c r="E377" s="33">
        <f>IFERROR(__xludf.DUMMYFUNCTION("""COMPUTED_VALUE"""),7.73E7)</f>
        <v>77300000</v>
      </c>
    </row>
    <row r="378">
      <c r="A378" s="31" t="str">
        <f>IFERROR(__xludf.DUMMYFUNCTION("""COMPUTED_VALUE"""),"The Gunman")</f>
        <v>The Gunman</v>
      </c>
      <c r="B378" s="32">
        <f>IFERROR(__xludf.DUMMYFUNCTION("""COMPUTED_VALUE"""),42083.0)</f>
        <v>42083</v>
      </c>
      <c r="C378" s="33" t="str">
        <f>IFERROR(__xludf.DUMMYFUNCTION("""COMPUTED_VALUE"""),"Thriller")</f>
        <v>Thriller</v>
      </c>
      <c r="D378" s="33">
        <f>IFERROR(__xludf.DUMMYFUNCTION("""COMPUTED_VALUE"""),4.0E7)</f>
        <v>40000000</v>
      </c>
      <c r="E378" s="33">
        <f>IFERROR(__xludf.DUMMYFUNCTION("""COMPUTED_VALUE"""),2.42E7)</f>
        <v>24200000</v>
      </c>
    </row>
    <row r="379">
      <c r="A379" s="31" t="str">
        <f>IFERROR(__xludf.DUMMYFUNCTION("""COMPUTED_VALUE"""),"The Hangover Part III")</f>
        <v>The Hangover Part III</v>
      </c>
      <c r="B379" s="32">
        <f>IFERROR(__xludf.DUMMYFUNCTION("""COMPUTED_VALUE"""),41417.0)</f>
        <v>41417</v>
      </c>
      <c r="C379" s="33" t="str">
        <f>IFERROR(__xludf.DUMMYFUNCTION("""COMPUTED_VALUE"""),"Comedy")</f>
        <v>Comedy</v>
      </c>
      <c r="D379" s="33">
        <f>IFERROR(__xludf.DUMMYFUNCTION("""COMPUTED_VALUE"""),1.03E8)</f>
        <v>103000000</v>
      </c>
      <c r="E379" s="33">
        <f>IFERROR(__xludf.DUMMYFUNCTION("""COMPUTED_VALUE"""),3.62E8)</f>
        <v>362000000</v>
      </c>
    </row>
    <row r="380">
      <c r="A380" s="31" t="str">
        <f>IFERROR(__xludf.DUMMYFUNCTION("""COMPUTED_VALUE"""),"The Hateful Eight")</f>
        <v>The Hateful Eight</v>
      </c>
      <c r="B380" s="32">
        <f>IFERROR(__xludf.DUMMYFUNCTION("""COMPUTED_VALUE"""),42363.0)</f>
        <v>42363</v>
      </c>
      <c r="C380" s="33" t="str">
        <f>IFERROR(__xludf.DUMMYFUNCTION("""COMPUTED_VALUE"""),"Drama")</f>
        <v>Drama</v>
      </c>
      <c r="D380" s="33">
        <f>IFERROR(__xludf.DUMMYFUNCTION("""COMPUTED_VALUE"""),4.4E7)</f>
        <v>44000000</v>
      </c>
      <c r="E380" s="33">
        <f>IFERROR(__xludf.DUMMYFUNCTION("""COMPUTED_VALUE"""),1.558E8)</f>
        <v>155800000</v>
      </c>
    </row>
    <row r="381">
      <c r="A381" s="31" t="str">
        <f>IFERROR(__xludf.DUMMYFUNCTION("""COMPUTED_VALUE"""),"The Heat")</f>
        <v>The Heat</v>
      </c>
      <c r="B381" s="32">
        <f>IFERROR(__xludf.DUMMYFUNCTION("""COMPUTED_VALUE"""),41453.0)</f>
        <v>41453</v>
      </c>
      <c r="C381" s="33" t="str">
        <f>IFERROR(__xludf.DUMMYFUNCTION("""COMPUTED_VALUE"""),"Action")</f>
        <v>Action</v>
      </c>
      <c r="D381" s="33">
        <f>IFERROR(__xludf.DUMMYFUNCTION("""COMPUTED_VALUE"""),4.3E7)</f>
        <v>43000000</v>
      </c>
      <c r="E381" s="33">
        <f>IFERROR(__xludf.DUMMYFUNCTION("""COMPUTED_VALUE"""),2.299E8)</f>
        <v>229900000</v>
      </c>
    </row>
    <row r="382">
      <c r="A382" s="31" t="str">
        <f>IFERROR(__xludf.DUMMYFUNCTION("""COMPUTED_VALUE"""),"The Hobbit: The Battle of the Five Armies")</f>
        <v>The Hobbit: The Battle of the Five Armies</v>
      </c>
      <c r="B382" s="32">
        <f>IFERROR(__xludf.DUMMYFUNCTION("""COMPUTED_VALUE"""),41974.0)</f>
        <v>41974</v>
      </c>
      <c r="C382" s="33" t="str">
        <f>IFERROR(__xludf.DUMMYFUNCTION("""COMPUTED_VALUE"""),"Adventure")</f>
        <v>Adventure</v>
      </c>
      <c r="D382" s="33">
        <f>IFERROR(__xludf.DUMMYFUNCTION("""COMPUTED_VALUE"""),2.5E8)</f>
        <v>250000000</v>
      </c>
      <c r="E382" s="33">
        <f>IFERROR(__xludf.DUMMYFUNCTION("""COMPUTED_VALUE"""),9.56E8)</f>
        <v>956000000</v>
      </c>
    </row>
    <row r="383">
      <c r="A383" s="31" t="str">
        <f>IFERROR(__xludf.DUMMYFUNCTION("""COMPUTED_VALUE"""),"The Host")</f>
        <v>The Host</v>
      </c>
      <c r="B383" s="32">
        <f>IFERROR(__xludf.DUMMYFUNCTION("""COMPUTED_VALUE"""),41362.0)</f>
        <v>41362</v>
      </c>
      <c r="C383" s="33" t="str">
        <f>IFERROR(__xludf.DUMMYFUNCTION("""COMPUTED_VALUE"""),"Sci-Fi")</f>
        <v>Sci-Fi</v>
      </c>
      <c r="D383" s="33">
        <f>IFERROR(__xludf.DUMMYFUNCTION("""COMPUTED_VALUE"""),4.0E7)</f>
        <v>40000000</v>
      </c>
      <c r="E383" s="33">
        <f>IFERROR(__xludf.DUMMYFUNCTION("""COMPUTED_VALUE"""),6.33E7)</f>
        <v>63300000</v>
      </c>
    </row>
    <row r="384">
      <c r="A384" s="31" t="str">
        <f>IFERROR(__xludf.DUMMYFUNCTION("""COMPUTED_VALUE"""),"The Hundred-Foot Journey")</f>
        <v>The Hundred-Foot Journey</v>
      </c>
      <c r="B384" s="32">
        <f>IFERROR(__xludf.DUMMYFUNCTION("""COMPUTED_VALUE"""),41859.0)</f>
        <v>41859</v>
      </c>
      <c r="C384" s="33" t="str">
        <f>IFERROR(__xludf.DUMMYFUNCTION("""COMPUTED_VALUE"""),"Drama")</f>
        <v>Drama</v>
      </c>
      <c r="D384" s="33">
        <f>IFERROR(__xludf.DUMMYFUNCTION("""COMPUTED_VALUE"""),2.2E7)</f>
        <v>22000000</v>
      </c>
      <c r="E384" s="33">
        <f>IFERROR(__xludf.DUMMYFUNCTION("""COMPUTED_VALUE"""),8.89E7)</f>
        <v>88900000</v>
      </c>
    </row>
    <row r="385">
      <c r="A385" s="31" t="str">
        <f>IFERROR(__xludf.DUMMYFUNCTION("""COMPUTED_VALUE"""),"The Hunger Games")</f>
        <v>The Hunger Games</v>
      </c>
      <c r="B385" s="32">
        <f>IFERROR(__xludf.DUMMYFUNCTION("""COMPUTED_VALUE"""),40991.0)</f>
        <v>40991</v>
      </c>
      <c r="C385" s="33" t="str">
        <f>IFERROR(__xludf.DUMMYFUNCTION("""COMPUTED_VALUE"""),"Action")</f>
        <v>Action</v>
      </c>
      <c r="D385" s="33">
        <f>IFERROR(__xludf.DUMMYFUNCTION("""COMPUTED_VALUE"""),7.8E7)</f>
        <v>78000000</v>
      </c>
      <c r="E385" s="33">
        <f>IFERROR(__xludf.DUMMYFUNCTION("""COMPUTED_VALUE"""),6.944E8)</f>
        <v>694400000</v>
      </c>
    </row>
    <row r="386">
      <c r="A386" s="31" t="str">
        <f>IFERROR(__xludf.DUMMYFUNCTION("""COMPUTED_VALUE"""),"The Hunger Games: Mockingjay – Part 1")</f>
        <v>The Hunger Games: Mockingjay – Part 1</v>
      </c>
      <c r="B386" s="32">
        <f>IFERROR(__xludf.DUMMYFUNCTION("""COMPUTED_VALUE"""),41953.0)</f>
        <v>41953</v>
      </c>
      <c r="C386" s="33" t="str">
        <f>IFERROR(__xludf.DUMMYFUNCTION("""COMPUTED_VALUE"""),"Sci-Fi")</f>
        <v>Sci-Fi</v>
      </c>
      <c r="D386" s="33">
        <f>IFERROR(__xludf.DUMMYFUNCTION("""COMPUTED_VALUE"""),1.25E8)</f>
        <v>125000000</v>
      </c>
      <c r="E386" s="33">
        <f>IFERROR(__xludf.DUMMYFUNCTION("""COMPUTED_VALUE"""),7.554E8)</f>
        <v>755400000</v>
      </c>
    </row>
    <row r="387">
      <c r="A387" s="31" t="str">
        <f>IFERROR(__xludf.DUMMYFUNCTION("""COMPUTED_VALUE"""),"The Hunger Games: Mockingjay – Part 2")</f>
        <v>The Hunger Games: Mockingjay – Part 2</v>
      </c>
      <c r="B387" s="32">
        <f>IFERROR(__xludf.DUMMYFUNCTION("""COMPUTED_VALUE"""),42312.0)</f>
        <v>42312</v>
      </c>
      <c r="C387" s="33" t="str">
        <f>IFERROR(__xludf.DUMMYFUNCTION("""COMPUTED_VALUE"""),"Sci-Fi")</f>
        <v>Sci-Fi</v>
      </c>
      <c r="D387" s="33">
        <f>IFERROR(__xludf.DUMMYFUNCTION("""COMPUTED_VALUE"""),1.6E8)</f>
        <v>160000000</v>
      </c>
      <c r="E387" s="33">
        <f>IFERROR(__xludf.DUMMYFUNCTION("""COMPUTED_VALUE"""),6.534E8)</f>
        <v>653400000</v>
      </c>
    </row>
    <row r="388">
      <c r="A388" s="31" t="str">
        <f>IFERROR(__xludf.DUMMYFUNCTION("""COMPUTED_VALUE"""),"The Huntsman: Winter's War")</f>
        <v>The Huntsman: Winter's War</v>
      </c>
      <c r="B388" s="32">
        <f>IFERROR(__xludf.DUMMYFUNCTION("""COMPUTED_VALUE"""),42482.0)</f>
        <v>42482</v>
      </c>
      <c r="C388" s="33" t="str">
        <f>IFERROR(__xludf.DUMMYFUNCTION("""COMPUTED_VALUE"""),"Fantasy")</f>
        <v>Fantasy</v>
      </c>
      <c r="D388" s="33">
        <f>IFERROR(__xludf.DUMMYFUNCTION("""COMPUTED_VALUE"""),1.15E8)</f>
        <v>115000000</v>
      </c>
      <c r="E388" s="33">
        <f>IFERROR(__xludf.DUMMYFUNCTION("""COMPUTED_VALUE"""),1.646E8)</f>
        <v>164600000</v>
      </c>
    </row>
    <row r="389">
      <c r="A389" s="31" t="str">
        <f>IFERROR(__xludf.DUMMYFUNCTION("""COMPUTED_VALUE"""),"The Iceman")</f>
        <v>The Iceman</v>
      </c>
      <c r="B389" s="32">
        <f>IFERROR(__xludf.DUMMYFUNCTION("""COMPUTED_VALUE"""),41397.0)</f>
        <v>41397</v>
      </c>
      <c r="C389" s="33" t="str">
        <f>IFERROR(__xludf.DUMMYFUNCTION("""COMPUTED_VALUE"""),"Drama")</f>
        <v>Drama</v>
      </c>
      <c r="D389" s="33">
        <f>IFERROR(__xludf.DUMMYFUNCTION("""COMPUTED_VALUE"""),1.0E7)</f>
        <v>10000000</v>
      </c>
      <c r="E389" s="33">
        <f>IFERROR(__xludf.DUMMYFUNCTION("""COMPUTED_VALUE"""),4400000.0)</f>
        <v>4400000</v>
      </c>
    </row>
    <row r="390">
      <c r="A390" s="31" t="str">
        <f>IFERROR(__xludf.DUMMYFUNCTION("""COMPUTED_VALUE"""),"The Identical")</f>
        <v>The Identical</v>
      </c>
      <c r="B390" s="32">
        <f>IFERROR(__xludf.DUMMYFUNCTION("""COMPUTED_VALUE"""),41746.0)</f>
        <v>41746</v>
      </c>
      <c r="C390" s="33" t="str">
        <f>IFERROR(__xludf.DUMMYFUNCTION("""COMPUTED_VALUE"""),"Religious")</f>
        <v>Religious</v>
      </c>
      <c r="D390" s="33">
        <f>IFERROR(__xludf.DUMMYFUNCTION("""COMPUTED_VALUE"""),1.6E7)</f>
        <v>16000000</v>
      </c>
      <c r="E390" s="33">
        <f>IFERROR(__xludf.DUMMYFUNCTION("""COMPUTED_VALUE"""),2800000.0)</f>
        <v>2800000</v>
      </c>
    </row>
    <row r="391">
      <c r="A391" s="31" t="str">
        <f>IFERROR(__xludf.DUMMYFUNCTION("""COMPUTED_VALUE"""),"The Imitation Game")</f>
        <v>The Imitation Game</v>
      </c>
      <c r="B391" s="32">
        <f>IFERROR(__xludf.DUMMYFUNCTION("""COMPUTED_VALUE"""),41880.0)</f>
        <v>41880</v>
      </c>
      <c r="C391" s="33" t="str">
        <f>IFERROR(__xludf.DUMMYFUNCTION("""COMPUTED_VALUE"""),"Drama")</f>
        <v>Drama</v>
      </c>
      <c r="D391" s="33">
        <f>IFERROR(__xludf.DUMMYFUNCTION("""COMPUTED_VALUE"""),1.4E7)</f>
        <v>14000000</v>
      </c>
      <c r="E391" s="33">
        <f>IFERROR(__xludf.DUMMYFUNCTION("""COMPUTED_VALUE"""),2.336E8)</f>
        <v>233600000</v>
      </c>
    </row>
    <row r="392">
      <c r="A392" s="31" t="str">
        <f>IFERROR(__xludf.DUMMYFUNCTION("""COMPUTED_VALUE"""),"The Impossible")</f>
        <v>The Impossible</v>
      </c>
      <c r="B392" s="32">
        <f>IFERROR(__xludf.DUMMYFUNCTION("""COMPUTED_VALUE"""),41264.0)</f>
        <v>41264</v>
      </c>
      <c r="C392" s="33" t="str">
        <f>IFERROR(__xludf.DUMMYFUNCTION("""COMPUTED_VALUE"""),"Drama")</f>
        <v>Drama</v>
      </c>
      <c r="D392" s="33">
        <f>IFERROR(__xludf.DUMMYFUNCTION("""COMPUTED_VALUE"""),4.5E7)</f>
        <v>45000000</v>
      </c>
      <c r="E392" s="33">
        <f>IFERROR(__xludf.DUMMYFUNCTION("""COMPUTED_VALUE"""),1.803E8)</f>
        <v>180300000</v>
      </c>
    </row>
    <row r="393">
      <c r="A393" s="31" t="str">
        <f>IFERROR(__xludf.DUMMYFUNCTION("""COMPUTED_VALUE"""),"The Incredible Burt Wonderstone")</f>
        <v>The Incredible Burt Wonderstone</v>
      </c>
      <c r="B393" s="32">
        <f>IFERROR(__xludf.DUMMYFUNCTION("""COMPUTED_VALUE"""),41348.0)</f>
        <v>41348</v>
      </c>
      <c r="C393" s="33" t="str">
        <f>IFERROR(__xludf.DUMMYFUNCTION("""COMPUTED_VALUE"""),"Comedy")</f>
        <v>Comedy</v>
      </c>
      <c r="D393" s="33">
        <f>IFERROR(__xludf.DUMMYFUNCTION("""COMPUTED_VALUE"""),3.4E7)</f>
        <v>34000000</v>
      </c>
      <c r="E393" s="33">
        <f>IFERROR(__xludf.DUMMYFUNCTION("""COMPUTED_VALUE"""),2.74E7)</f>
        <v>27400000</v>
      </c>
    </row>
    <row r="394">
      <c r="A394" s="31" t="str">
        <f>IFERROR(__xludf.DUMMYFUNCTION("""COMPUTED_VALUE"""),"The Infiltrator")</f>
        <v>The Infiltrator</v>
      </c>
      <c r="B394" s="32">
        <f>IFERROR(__xludf.DUMMYFUNCTION("""COMPUTED_VALUE"""),42564.0)</f>
        <v>42564</v>
      </c>
      <c r="C394" s="33" t="str">
        <f>IFERROR(__xludf.DUMMYFUNCTION("""COMPUTED_VALUE"""),"Drama")</f>
        <v>Drama</v>
      </c>
      <c r="D394" s="33">
        <f>IFERROR(__xludf.DUMMYFUNCTION("""COMPUTED_VALUE"""),4.75E7)</f>
        <v>47500000</v>
      </c>
      <c r="E394" s="33">
        <f>IFERROR(__xludf.DUMMYFUNCTION("""COMPUTED_VALUE"""),1.52E7)</f>
        <v>15200000</v>
      </c>
    </row>
    <row r="395">
      <c r="A395" s="31" t="str">
        <f>IFERROR(__xludf.DUMMYFUNCTION("""COMPUTED_VALUE"""),"The Intern")</f>
        <v>The Intern</v>
      </c>
      <c r="B395" s="32">
        <f>IFERROR(__xludf.DUMMYFUNCTION("""COMPUTED_VALUE"""),42262.0)</f>
        <v>42262</v>
      </c>
      <c r="C395" s="33" t="str">
        <f>IFERROR(__xludf.DUMMYFUNCTION("""COMPUTED_VALUE"""),"Comedy")</f>
        <v>Comedy</v>
      </c>
      <c r="D395" s="33">
        <f>IFERROR(__xludf.DUMMYFUNCTION("""COMPUTED_VALUE"""),4.4E7)</f>
        <v>44000000</v>
      </c>
      <c r="E395" s="33">
        <f>IFERROR(__xludf.DUMMYFUNCTION("""COMPUTED_VALUE"""),1.946E8)</f>
        <v>194600000</v>
      </c>
    </row>
    <row r="396">
      <c r="A396" s="31" t="str">
        <f>IFERROR(__xludf.DUMMYFUNCTION("""COMPUTED_VALUE"""),"The Internship")</f>
        <v>The Internship</v>
      </c>
      <c r="B396" s="32">
        <f>IFERROR(__xludf.DUMMYFUNCTION("""COMPUTED_VALUE"""),41432.0)</f>
        <v>41432</v>
      </c>
      <c r="C396" s="33" t="str">
        <f>IFERROR(__xludf.DUMMYFUNCTION("""COMPUTED_VALUE"""),"Comedy")</f>
        <v>Comedy</v>
      </c>
      <c r="D396" s="33">
        <f>IFERROR(__xludf.DUMMYFUNCTION("""COMPUTED_VALUE"""),5.8E7)</f>
        <v>58000000</v>
      </c>
      <c r="E396" s="33">
        <f>IFERROR(__xludf.DUMMYFUNCTION("""COMPUTED_VALUE"""),9.3E7)</f>
        <v>93000000</v>
      </c>
    </row>
    <row r="397">
      <c r="A397" s="31" t="str">
        <f>IFERROR(__xludf.DUMMYFUNCTION("""COMPUTED_VALUE"""),"The Interview")</f>
        <v>The Interview</v>
      </c>
      <c r="B397" s="32">
        <f>IFERROR(__xludf.DUMMYFUNCTION("""COMPUTED_VALUE"""),41984.0)</f>
        <v>41984</v>
      </c>
      <c r="C397" s="33" t="str">
        <f>IFERROR(__xludf.DUMMYFUNCTION("""COMPUTED_VALUE"""),"Action")</f>
        <v>Action</v>
      </c>
      <c r="D397" s="33">
        <f>IFERROR(__xludf.DUMMYFUNCTION("""COMPUTED_VALUE"""),4.4E7)</f>
        <v>44000000</v>
      </c>
      <c r="E397" s="33">
        <f>IFERROR(__xludf.DUMMYFUNCTION("""COMPUTED_VALUE"""),1.13E7)</f>
        <v>11300000</v>
      </c>
    </row>
    <row r="398">
      <c r="A398" s="31" t="str">
        <f>IFERROR(__xludf.DUMMYFUNCTION("""COMPUTED_VALUE"""),"The Judge")</f>
        <v>The Judge</v>
      </c>
      <c r="B398" s="32">
        <f>IFERROR(__xludf.DUMMYFUNCTION("""COMPUTED_VALUE"""),41886.0)</f>
        <v>41886</v>
      </c>
      <c r="C398" s="33" t="str">
        <f>IFERROR(__xludf.DUMMYFUNCTION("""COMPUTED_VALUE"""),"Comedy")</f>
        <v>Comedy</v>
      </c>
      <c r="D398" s="33">
        <f>IFERROR(__xludf.DUMMYFUNCTION("""COMPUTED_VALUE"""),5.0E7)</f>
        <v>50000000</v>
      </c>
      <c r="E398" s="33">
        <f>IFERROR(__xludf.DUMMYFUNCTION("""COMPUTED_VALUE"""),8.44E7)</f>
        <v>84400000</v>
      </c>
    </row>
    <row r="399">
      <c r="A399" s="31" t="str">
        <f>IFERROR(__xludf.DUMMYFUNCTION("""COMPUTED_VALUE"""),"The Lady in the Van")</f>
        <v>The Lady in the Van</v>
      </c>
      <c r="B399" s="32">
        <f>IFERROR(__xludf.DUMMYFUNCTION("""COMPUTED_VALUE"""),42342.0)</f>
        <v>42342</v>
      </c>
      <c r="C399" s="33" t="str">
        <f>IFERROR(__xludf.DUMMYFUNCTION("""COMPUTED_VALUE"""),"Comedy")</f>
        <v>Comedy</v>
      </c>
      <c r="D399" s="33">
        <f>IFERROR(__xludf.DUMMYFUNCTION("""COMPUTED_VALUE"""),6000000.0)</f>
        <v>6000000</v>
      </c>
      <c r="E399" s="33">
        <f>IFERROR(__xludf.DUMMYFUNCTION("""COMPUTED_VALUE"""),4.14E7)</f>
        <v>41400000</v>
      </c>
    </row>
    <row r="400">
      <c r="A400" s="31" t="str">
        <f>IFERROR(__xludf.DUMMYFUNCTION("""COMPUTED_VALUE"""),"The Last Exorcism Part II")</f>
        <v>The Last Exorcism Part II</v>
      </c>
      <c r="B400" s="32">
        <f>IFERROR(__xludf.DUMMYFUNCTION("""COMPUTED_VALUE"""),41334.0)</f>
        <v>41334</v>
      </c>
      <c r="C400" s="33" t="str">
        <f>IFERROR(__xludf.DUMMYFUNCTION("""COMPUTED_VALUE"""),"Horror")</f>
        <v>Horror</v>
      </c>
      <c r="D400" s="33">
        <f>IFERROR(__xludf.DUMMYFUNCTION("""COMPUTED_VALUE"""),5000000.0)</f>
        <v>5000000</v>
      </c>
      <c r="E400" s="33">
        <f>IFERROR(__xludf.DUMMYFUNCTION("""COMPUTED_VALUE"""),1.51E7)</f>
        <v>15100000</v>
      </c>
    </row>
    <row r="401">
      <c r="A401" s="31" t="str">
        <f>IFERROR(__xludf.DUMMYFUNCTION("""COMPUTED_VALUE"""),"The Last Stand")</f>
        <v>The Last Stand</v>
      </c>
      <c r="B401" s="32">
        <f>IFERROR(__xludf.DUMMYFUNCTION("""COMPUTED_VALUE"""),41292.0)</f>
        <v>41292</v>
      </c>
      <c r="C401" s="33" t="str">
        <f>IFERROR(__xludf.DUMMYFUNCTION("""COMPUTED_VALUE"""),"Action")</f>
        <v>Action</v>
      </c>
      <c r="D401" s="33">
        <f>IFERROR(__xludf.DUMMYFUNCTION("""COMPUTED_VALUE"""),4.5E7)</f>
        <v>45000000</v>
      </c>
      <c r="E401" s="33">
        <f>IFERROR(__xludf.DUMMYFUNCTION("""COMPUTED_VALUE"""),4.83E7)</f>
        <v>48300000</v>
      </c>
    </row>
    <row r="402">
      <c r="A402" s="31" t="str">
        <f>IFERROR(__xludf.DUMMYFUNCTION("""COMPUTED_VALUE"""),"The Last Witch Hunter")</f>
        <v>The Last Witch Hunter</v>
      </c>
      <c r="B402" s="32">
        <f>IFERROR(__xludf.DUMMYFUNCTION("""COMPUTED_VALUE"""),42300.0)</f>
        <v>42300</v>
      </c>
      <c r="C402" s="33" t="str">
        <f>IFERROR(__xludf.DUMMYFUNCTION("""COMPUTED_VALUE"""),"Action")</f>
        <v>Action</v>
      </c>
      <c r="D402" s="33">
        <f>IFERROR(__xludf.DUMMYFUNCTION("""COMPUTED_VALUE"""),9.0E7)</f>
        <v>90000000</v>
      </c>
      <c r="E402" s="33">
        <f>IFERROR(__xludf.DUMMYFUNCTION("""COMPUTED_VALUE"""),1.404E8)</f>
        <v>140400000</v>
      </c>
    </row>
    <row r="403">
      <c r="A403" s="31" t="str">
        <f>IFERROR(__xludf.DUMMYFUNCTION("""COMPUTED_VALUE"""),"The Lazarus Effect")</f>
        <v>The Lazarus Effect</v>
      </c>
      <c r="B403" s="32">
        <f>IFERROR(__xludf.DUMMYFUNCTION("""COMPUTED_VALUE"""),42062.0)</f>
        <v>42062</v>
      </c>
      <c r="C403" s="33" t="str">
        <f>IFERROR(__xludf.DUMMYFUNCTION("""COMPUTED_VALUE"""),"Horror")</f>
        <v>Horror</v>
      </c>
      <c r="D403" s="33">
        <f>IFERROR(__xludf.DUMMYFUNCTION("""COMPUTED_VALUE"""),3300000.0)</f>
        <v>3300000</v>
      </c>
      <c r="E403" s="33">
        <f>IFERROR(__xludf.DUMMYFUNCTION("""COMPUTED_VALUE"""),3.84E7)</f>
        <v>38400000</v>
      </c>
    </row>
    <row r="404">
      <c r="A404" s="31" t="str">
        <f>IFERROR(__xludf.DUMMYFUNCTION("""COMPUTED_VALUE"""),"The Legend of Hercules")</f>
        <v>The Legend of Hercules</v>
      </c>
      <c r="B404" s="32">
        <f>IFERROR(__xludf.DUMMYFUNCTION("""COMPUTED_VALUE"""),41649.0)</f>
        <v>41649</v>
      </c>
      <c r="C404" s="33" t="str">
        <f>IFERROR(__xludf.DUMMYFUNCTION("""COMPUTED_VALUE"""),"Action")</f>
        <v>Action</v>
      </c>
      <c r="D404" s="33">
        <f>IFERROR(__xludf.DUMMYFUNCTION("""COMPUTED_VALUE"""),7.0E7)</f>
        <v>70000000</v>
      </c>
      <c r="E404" s="33">
        <f>IFERROR(__xludf.DUMMYFUNCTION("""COMPUTED_VALUE"""),6.13E7)</f>
        <v>61300000</v>
      </c>
    </row>
    <row r="405">
      <c r="A405" s="31" t="str">
        <f>IFERROR(__xludf.DUMMYFUNCTION("""COMPUTED_VALUE"""),"The Legend of Tarzan")</f>
        <v>The Legend of Tarzan</v>
      </c>
      <c r="B405" s="32">
        <f>IFERROR(__xludf.DUMMYFUNCTION("""COMPUTED_VALUE"""),42552.0)</f>
        <v>42552</v>
      </c>
      <c r="C405" s="33" t="str">
        <f>IFERROR(__xludf.DUMMYFUNCTION("""COMPUTED_VALUE"""),"Action")</f>
        <v>Action</v>
      </c>
      <c r="D405" s="33">
        <f>IFERROR(__xludf.DUMMYFUNCTION("""COMPUTED_VALUE"""),1.8E8)</f>
        <v>180000000</v>
      </c>
      <c r="E405" s="33">
        <f>IFERROR(__xludf.DUMMYFUNCTION("""COMPUTED_VALUE"""),3.527E8)</f>
        <v>352700000</v>
      </c>
    </row>
    <row r="406">
      <c r="A406" s="31" t="str">
        <f>IFERROR(__xludf.DUMMYFUNCTION("""COMPUTED_VALUE"""),"The Lego Movie")</f>
        <v>The Lego Movie</v>
      </c>
      <c r="B406" s="32">
        <f>IFERROR(__xludf.DUMMYFUNCTION("""COMPUTED_VALUE"""),41671.0)</f>
        <v>41671</v>
      </c>
      <c r="C406" s="33" t="str">
        <f>IFERROR(__xludf.DUMMYFUNCTION("""COMPUTED_VALUE"""),"Family")</f>
        <v>Family</v>
      </c>
      <c r="D406" s="33">
        <f>IFERROR(__xludf.DUMMYFUNCTION("""COMPUTED_VALUE"""),6.0E7)</f>
        <v>60000000</v>
      </c>
      <c r="E406" s="33">
        <f>IFERROR(__xludf.DUMMYFUNCTION("""COMPUTED_VALUE"""),4.692E8)</f>
        <v>469200000</v>
      </c>
    </row>
    <row r="407">
      <c r="A407" s="31" t="str">
        <f>IFERROR(__xludf.DUMMYFUNCTION("""COMPUTED_VALUE"""),"The Letters")</f>
        <v>The Letters</v>
      </c>
      <c r="B407" s="32">
        <f>IFERROR(__xludf.DUMMYFUNCTION("""COMPUTED_VALUE"""),42342.0)</f>
        <v>42342</v>
      </c>
      <c r="C407" s="33" t="str">
        <f>IFERROR(__xludf.DUMMYFUNCTION("""COMPUTED_VALUE"""),"Drama")</f>
        <v>Drama</v>
      </c>
      <c r="D407" s="33">
        <f>IFERROR(__xludf.DUMMYFUNCTION("""COMPUTED_VALUE"""),1000000.0)</f>
        <v>1000000</v>
      </c>
      <c r="E407" s="33">
        <f>IFERROR(__xludf.DUMMYFUNCTION("""COMPUTED_VALUE"""),1600000.0)</f>
        <v>1600000</v>
      </c>
    </row>
    <row r="408">
      <c r="A408" s="31" t="str">
        <f>IFERROR(__xludf.DUMMYFUNCTION("""COMPUTED_VALUE"""),"The Lucky One")</f>
        <v>The Lucky One</v>
      </c>
      <c r="B408" s="32">
        <f>IFERROR(__xludf.DUMMYFUNCTION("""COMPUTED_VALUE"""),41019.0)</f>
        <v>41019</v>
      </c>
      <c r="C408" s="33" t="str">
        <f>IFERROR(__xludf.DUMMYFUNCTION("""COMPUTED_VALUE"""),"Drama")</f>
        <v>Drama</v>
      </c>
      <c r="D408" s="33">
        <f>IFERROR(__xludf.DUMMYFUNCTION("""COMPUTED_VALUE"""),2.5E7)</f>
        <v>25000000</v>
      </c>
      <c r="E408" s="33">
        <f>IFERROR(__xludf.DUMMYFUNCTION("""COMPUTED_VALUE"""),9.94E7)</f>
        <v>99400000</v>
      </c>
    </row>
    <row r="409">
      <c r="A409" s="31" t="str">
        <f>IFERROR(__xludf.DUMMYFUNCTION("""COMPUTED_VALUE"""),"The Man from U.N.C.L.E.")</f>
        <v>The Man from U.N.C.L.E.</v>
      </c>
      <c r="B409" s="32">
        <f>IFERROR(__xludf.DUMMYFUNCTION("""COMPUTED_VALUE"""),42223.0)</f>
        <v>42223</v>
      </c>
      <c r="C409" s="33" t="str">
        <f>IFERROR(__xludf.DUMMYFUNCTION("""COMPUTED_VALUE"""),"Action")</f>
        <v>Action</v>
      </c>
      <c r="D409" s="33">
        <f>IFERROR(__xludf.DUMMYFUNCTION("""COMPUTED_VALUE"""),7.5E7)</f>
        <v>75000000</v>
      </c>
      <c r="E409" s="33">
        <f>IFERROR(__xludf.DUMMYFUNCTION("""COMPUTED_VALUE"""),1.098E8)</f>
        <v>109800000</v>
      </c>
    </row>
    <row r="410">
      <c r="A410" s="31" t="str">
        <f>IFERROR(__xludf.DUMMYFUNCTION("""COMPUTED_VALUE"""),"The Man with the Iron Fists")</f>
        <v>The Man with the Iron Fists</v>
      </c>
      <c r="B410" s="32">
        <f>IFERROR(__xludf.DUMMYFUNCTION("""COMPUTED_VALUE"""),41215.0)</f>
        <v>41215</v>
      </c>
      <c r="C410" s="33" t="str">
        <f>IFERROR(__xludf.DUMMYFUNCTION("""COMPUTED_VALUE"""),"Action")</f>
        <v>Action</v>
      </c>
      <c r="D410" s="33">
        <f>IFERROR(__xludf.DUMMYFUNCTION("""COMPUTED_VALUE"""),2.0E7)</f>
        <v>20000000</v>
      </c>
      <c r="E410" s="33">
        <f>IFERROR(__xludf.DUMMYFUNCTION("""COMPUTED_VALUE"""),2.03E7)</f>
        <v>20300000</v>
      </c>
    </row>
    <row r="411">
      <c r="A411" s="31" t="str">
        <f>IFERROR(__xludf.DUMMYFUNCTION("""COMPUTED_VALUE"""),"The Martian")</f>
        <v>The Martian</v>
      </c>
      <c r="B411" s="32">
        <f>IFERROR(__xludf.DUMMYFUNCTION("""COMPUTED_VALUE"""),42258.0)</f>
        <v>42258</v>
      </c>
      <c r="C411" s="33" t="str">
        <f>IFERROR(__xludf.DUMMYFUNCTION("""COMPUTED_VALUE"""),"Sci-Fi")</f>
        <v>Sci-Fi</v>
      </c>
      <c r="D411" s="33">
        <f>IFERROR(__xludf.DUMMYFUNCTION("""COMPUTED_VALUE"""),1.08E8)</f>
        <v>108000000</v>
      </c>
      <c r="E411" s="33">
        <f>IFERROR(__xludf.DUMMYFUNCTION("""COMPUTED_VALUE"""),6.302E8)</f>
        <v>630200000</v>
      </c>
    </row>
    <row r="412">
      <c r="A412" s="31" t="str">
        <f>IFERROR(__xludf.DUMMYFUNCTION("""COMPUTED_VALUE"""),"The Master")</f>
        <v>The Master</v>
      </c>
      <c r="B412" s="32">
        <f>IFERROR(__xludf.DUMMYFUNCTION("""COMPUTED_VALUE"""),41166.0)</f>
        <v>41166</v>
      </c>
      <c r="C412" s="33" t="str">
        <f>IFERROR(__xludf.DUMMYFUNCTION("""COMPUTED_VALUE"""),"Drama")</f>
        <v>Drama</v>
      </c>
      <c r="D412" s="33">
        <f>IFERROR(__xludf.DUMMYFUNCTION("""COMPUTED_VALUE"""),3.2E7)</f>
        <v>32000000</v>
      </c>
      <c r="E412" s="33">
        <f>IFERROR(__xludf.DUMMYFUNCTION("""COMPUTED_VALUE"""),2.83E7)</f>
        <v>28300000</v>
      </c>
    </row>
    <row r="413">
      <c r="A413" s="31" t="str">
        <f>IFERROR(__xludf.DUMMYFUNCTION("""COMPUTED_VALUE"""),"The Maze Runner")</f>
        <v>The Maze Runner</v>
      </c>
      <c r="B413" s="32">
        <f>IFERROR(__xludf.DUMMYFUNCTION("""COMPUTED_VALUE"""),41901.0)</f>
        <v>41901</v>
      </c>
      <c r="C413" s="33" t="str">
        <f>IFERROR(__xludf.DUMMYFUNCTION("""COMPUTED_VALUE"""),"Sci-Fi")</f>
        <v>Sci-Fi</v>
      </c>
      <c r="D413" s="33">
        <f>IFERROR(__xludf.DUMMYFUNCTION("""COMPUTED_VALUE"""),3.4E7)</f>
        <v>34000000</v>
      </c>
      <c r="E413" s="33">
        <f>IFERROR(__xludf.DUMMYFUNCTION("""COMPUTED_VALUE"""),3.483E8)</f>
        <v>348300000</v>
      </c>
    </row>
    <row r="414">
      <c r="A414" s="31" t="str">
        <f>IFERROR(__xludf.DUMMYFUNCTION("""COMPUTED_VALUE"""),"The Mermaid")</f>
        <v>The Mermaid</v>
      </c>
      <c r="B414" s="32">
        <f>IFERROR(__xludf.DUMMYFUNCTION("""COMPUTED_VALUE"""),42408.0)</f>
        <v>42408</v>
      </c>
      <c r="C414" s="33" t="str">
        <f>IFERROR(__xludf.DUMMYFUNCTION("""COMPUTED_VALUE"""),"Sci-Fi")</f>
        <v>Sci-Fi</v>
      </c>
      <c r="D414" s="33">
        <f>IFERROR(__xludf.DUMMYFUNCTION("""COMPUTED_VALUE"""),6.072E7)</f>
        <v>60720000</v>
      </c>
      <c r="E414" s="33">
        <f>IFERROR(__xludf.DUMMYFUNCTION("""COMPUTED_VALUE"""),5.538E8)</f>
        <v>553800000</v>
      </c>
    </row>
    <row r="415">
      <c r="A415" s="31" t="str">
        <f>IFERROR(__xludf.DUMMYFUNCTION("""COMPUTED_VALUE"""),"The Monuments Men")</f>
        <v>The Monuments Men</v>
      </c>
      <c r="B415" s="32">
        <f>IFERROR(__xludf.DUMMYFUNCTION("""COMPUTED_VALUE"""),41677.0)</f>
        <v>41677</v>
      </c>
      <c r="C415" s="33" t="str">
        <f>IFERROR(__xludf.DUMMYFUNCTION("""COMPUTED_VALUE"""),"Drama")</f>
        <v>Drama</v>
      </c>
      <c r="D415" s="33">
        <f>IFERROR(__xludf.DUMMYFUNCTION("""COMPUTED_VALUE"""),7.0E7)</f>
        <v>70000000</v>
      </c>
      <c r="E415" s="33">
        <f>IFERROR(__xludf.DUMMYFUNCTION("""COMPUTED_VALUE"""),1.55E8)</f>
        <v>155000000</v>
      </c>
    </row>
    <row r="416">
      <c r="A416" s="31" t="str">
        <f>IFERROR(__xludf.DUMMYFUNCTION("""COMPUTED_VALUE"""),"The Mortal Instruments: City of Bones")</f>
        <v>The Mortal Instruments: City of Bones</v>
      </c>
      <c r="B416" s="32">
        <f>IFERROR(__xludf.DUMMYFUNCTION("""COMPUTED_VALUE"""),41507.0)</f>
        <v>41507</v>
      </c>
      <c r="C416" s="33" t="str">
        <f>IFERROR(__xludf.DUMMYFUNCTION("""COMPUTED_VALUE"""),"Action")</f>
        <v>Action</v>
      </c>
      <c r="D416" s="33">
        <f>IFERROR(__xludf.DUMMYFUNCTION("""COMPUTED_VALUE"""),6.0E7)</f>
        <v>60000000</v>
      </c>
      <c r="E416" s="33">
        <f>IFERROR(__xludf.DUMMYFUNCTION("""COMPUTED_VALUE"""),9.06E7)</f>
        <v>90600000</v>
      </c>
    </row>
    <row r="417">
      <c r="A417" s="31" t="str">
        <f>IFERROR(__xludf.DUMMYFUNCTION("""COMPUTED_VALUE"""),"The Night Before")</f>
        <v>The Night Before</v>
      </c>
      <c r="B417" s="32">
        <f>IFERROR(__xludf.DUMMYFUNCTION("""COMPUTED_VALUE"""),42328.0)</f>
        <v>42328</v>
      </c>
      <c r="C417" s="33" t="str">
        <f>IFERROR(__xludf.DUMMYFUNCTION("""COMPUTED_VALUE"""),"Comedy")</f>
        <v>Comedy</v>
      </c>
      <c r="D417" s="33">
        <f>IFERROR(__xludf.DUMMYFUNCTION("""COMPUTED_VALUE"""),2.5E7)</f>
        <v>25000000</v>
      </c>
      <c r="E417" s="33">
        <f>IFERROR(__xludf.DUMMYFUNCTION("""COMPUTED_VALUE"""),5.24E7)</f>
        <v>52400000</v>
      </c>
    </row>
    <row r="418">
      <c r="A418" s="31" t="str">
        <f>IFERROR(__xludf.DUMMYFUNCTION("""COMPUTED_VALUE"""),"The November Man")</f>
        <v>The November Man</v>
      </c>
      <c r="B418" s="32">
        <f>IFERROR(__xludf.DUMMYFUNCTION("""COMPUTED_VALUE"""),41878.0)</f>
        <v>41878</v>
      </c>
      <c r="C418" s="33" t="str">
        <f>IFERROR(__xludf.DUMMYFUNCTION("""COMPUTED_VALUE"""),"Thriller")</f>
        <v>Thriller</v>
      </c>
      <c r="D418" s="33">
        <f>IFERROR(__xludf.DUMMYFUNCTION("""COMPUTED_VALUE"""),1.5E7)</f>
        <v>15000000</v>
      </c>
      <c r="E418" s="33">
        <f>IFERROR(__xludf.DUMMYFUNCTION("""COMPUTED_VALUE"""),3.48E7)</f>
        <v>34800000</v>
      </c>
    </row>
    <row r="419">
      <c r="A419" s="31" t="str">
        <f>IFERROR(__xludf.DUMMYFUNCTION("""COMPUTED_VALUE"""),"The Nut Job")</f>
        <v>The Nut Job</v>
      </c>
      <c r="B419" s="32">
        <f>IFERROR(__xludf.DUMMYFUNCTION("""COMPUTED_VALUE"""),41650.0)</f>
        <v>41650</v>
      </c>
      <c r="C419" s="33" t="str">
        <f>IFERROR(__xludf.DUMMYFUNCTION("""COMPUTED_VALUE"""),"Family")</f>
        <v>Family</v>
      </c>
      <c r="D419" s="33">
        <f>IFERROR(__xludf.DUMMYFUNCTION("""COMPUTED_VALUE"""),4.28E7)</f>
        <v>42800000</v>
      </c>
      <c r="E419" s="33">
        <f>IFERROR(__xludf.DUMMYFUNCTION("""COMPUTED_VALUE"""),1.209E8)</f>
        <v>120900000</v>
      </c>
    </row>
    <row r="420">
      <c r="A420" s="31" t="str">
        <f>IFERROR(__xludf.DUMMYFUNCTION("""COMPUTED_VALUE"""),"The Oogieloves in the Big Balloon Adventure")</f>
        <v>The Oogieloves in the Big Balloon Adventure</v>
      </c>
      <c r="B420" s="32">
        <f>IFERROR(__xludf.DUMMYFUNCTION("""COMPUTED_VALUE"""),41150.0)</f>
        <v>41150</v>
      </c>
      <c r="C420" s="33" t="str">
        <f>IFERROR(__xludf.DUMMYFUNCTION("""COMPUTED_VALUE"""),"Family")</f>
        <v>Family</v>
      </c>
      <c r="D420" s="33">
        <f>IFERROR(__xludf.DUMMYFUNCTION("""COMPUTED_VALUE"""),2.0E7)</f>
        <v>20000000</v>
      </c>
      <c r="E420" s="33">
        <f>IFERROR(__xludf.DUMMYFUNCTION("""COMPUTED_VALUE"""),1100000.0)</f>
        <v>1100000</v>
      </c>
    </row>
    <row r="421">
      <c r="A421" s="31" t="str">
        <f>IFERROR(__xludf.DUMMYFUNCTION("""COMPUTED_VALUE"""),"The Other Woman")</f>
        <v>The Other Woman</v>
      </c>
      <c r="B421" s="32">
        <f>IFERROR(__xludf.DUMMYFUNCTION("""COMPUTED_VALUE"""),41729.0)</f>
        <v>41729</v>
      </c>
      <c r="C421" s="33" t="str">
        <f>IFERROR(__xludf.DUMMYFUNCTION("""COMPUTED_VALUE"""),"Comedy")</f>
        <v>Comedy</v>
      </c>
      <c r="D421" s="33">
        <f>IFERROR(__xludf.DUMMYFUNCTION("""COMPUTED_VALUE"""),4.0E7)</f>
        <v>40000000</v>
      </c>
      <c r="E421" s="33">
        <f>IFERROR(__xludf.DUMMYFUNCTION("""COMPUTED_VALUE"""),1.967E8)</f>
        <v>196700000</v>
      </c>
    </row>
    <row r="422">
      <c r="A422" s="31" t="str">
        <f>IFERROR(__xludf.DUMMYFUNCTION("""COMPUTED_VALUE"""),"The Peanuts Movie")</f>
        <v>The Peanuts Movie</v>
      </c>
      <c r="B422" s="32">
        <f>IFERROR(__xludf.DUMMYFUNCTION("""COMPUTED_VALUE"""),42309.0)</f>
        <v>42309</v>
      </c>
      <c r="C422" s="33" t="str">
        <f>IFERROR(__xludf.DUMMYFUNCTION("""COMPUTED_VALUE"""),"Animation")</f>
        <v>Animation</v>
      </c>
      <c r="D422" s="33">
        <f>IFERROR(__xludf.DUMMYFUNCTION("""COMPUTED_VALUE"""),9.9E7)</f>
        <v>99000000</v>
      </c>
      <c r="E422" s="33">
        <f>IFERROR(__xludf.DUMMYFUNCTION("""COMPUTED_VALUE"""),2.462E8)</f>
        <v>246200000</v>
      </c>
    </row>
    <row r="423">
      <c r="A423" s="31" t="str">
        <f>IFERROR(__xludf.DUMMYFUNCTION("""COMPUTED_VALUE"""),"The Perfect Guy")</f>
        <v>The Perfect Guy</v>
      </c>
      <c r="B423" s="32">
        <f>IFERROR(__xludf.DUMMYFUNCTION("""COMPUTED_VALUE"""),42249.0)</f>
        <v>42249</v>
      </c>
      <c r="C423" s="33" t="str">
        <f>IFERROR(__xludf.DUMMYFUNCTION("""COMPUTED_VALUE"""),"Thriller")</f>
        <v>Thriller</v>
      </c>
      <c r="D423" s="33">
        <f>IFERROR(__xludf.DUMMYFUNCTION("""COMPUTED_VALUE"""),1.8E7)</f>
        <v>18000000</v>
      </c>
      <c r="E423" s="33">
        <f>IFERROR(__xludf.DUMMYFUNCTION("""COMPUTED_VALUE"""),6.03E7)</f>
        <v>60300000</v>
      </c>
    </row>
    <row r="424">
      <c r="A424" s="31" t="str">
        <f>IFERROR(__xludf.DUMMYFUNCTION("""COMPUTED_VALUE"""),"The Perfect Match")</f>
        <v>The Perfect Match</v>
      </c>
      <c r="B424" s="32">
        <f>IFERROR(__xludf.DUMMYFUNCTION("""COMPUTED_VALUE"""),42440.0)</f>
        <v>42440</v>
      </c>
      <c r="C424" s="33" t="str">
        <f>IFERROR(__xludf.DUMMYFUNCTION("""COMPUTED_VALUE"""),"Romance")</f>
        <v>Romance</v>
      </c>
      <c r="D424" s="33">
        <f>IFERROR(__xludf.DUMMYFUNCTION("""COMPUTED_VALUE"""),5000000.0)</f>
        <v>5000000</v>
      </c>
      <c r="E424" s="33">
        <f>IFERROR(__xludf.DUMMYFUNCTION("""COMPUTED_VALUE"""),1.04E7)</f>
        <v>10400000</v>
      </c>
    </row>
    <row r="425">
      <c r="A425" s="31" t="str">
        <f>IFERROR(__xludf.DUMMYFUNCTION("""COMPUTED_VALUE"""),"The Perks of Being a Wallflower")</f>
        <v>The Perks of Being a Wallflower</v>
      </c>
      <c r="B425" s="32">
        <f>IFERROR(__xludf.DUMMYFUNCTION("""COMPUTED_VALUE"""),41173.0)</f>
        <v>41173</v>
      </c>
      <c r="C425" s="33" t="str">
        <f>IFERROR(__xludf.DUMMYFUNCTION("""COMPUTED_VALUE"""),"Drama")</f>
        <v>Drama</v>
      </c>
      <c r="D425" s="33">
        <f>IFERROR(__xludf.DUMMYFUNCTION("""COMPUTED_VALUE"""),1.3E7)</f>
        <v>13000000</v>
      </c>
      <c r="E425" s="33">
        <f>IFERROR(__xludf.DUMMYFUNCTION("""COMPUTED_VALUE"""),3.34E7)</f>
        <v>33400000</v>
      </c>
    </row>
    <row r="426">
      <c r="A426" s="31" t="str">
        <f>IFERROR(__xludf.DUMMYFUNCTION("""COMPUTED_VALUE"""),"The Pirates! Band of Misfits")</f>
        <v>The Pirates! Band of Misfits</v>
      </c>
      <c r="B426" s="32">
        <f>IFERROR(__xludf.DUMMYFUNCTION("""COMPUTED_VALUE"""),41026.0)</f>
        <v>41026</v>
      </c>
      <c r="C426" s="33" t="str">
        <f>IFERROR(__xludf.DUMMYFUNCTION("""COMPUTED_VALUE"""),"Comedy")</f>
        <v>Comedy</v>
      </c>
      <c r="D426" s="33">
        <f>IFERROR(__xludf.DUMMYFUNCTION("""COMPUTED_VALUE"""),5.5E7)</f>
        <v>55000000</v>
      </c>
      <c r="E426" s="33">
        <f>IFERROR(__xludf.DUMMYFUNCTION("""COMPUTED_VALUE"""),1.23E8)</f>
        <v>123000000</v>
      </c>
    </row>
    <row r="427">
      <c r="A427" s="31" t="str">
        <f>IFERROR(__xludf.DUMMYFUNCTION("""COMPUTED_VALUE"""),"The Place Beyond the Pines")</f>
        <v>The Place Beyond the Pines</v>
      </c>
      <c r="B427" s="32">
        <f>IFERROR(__xludf.DUMMYFUNCTION("""COMPUTED_VALUE"""),41362.0)</f>
        <v>41362</v>
      </c>
      <c r="C427" s="33" t="str">
        <f>IFERROR(__xludf.DUMMYFUNCTION("""COMPUTED_VALUE"""),"Crime")</f>
        <v>Crime</v>
      </c>
      <c r="D427" s="33">
        <f>IFERROR(__xludf.DUMMYFUNCTION("""COMPUTED_VALUE"""),1.5E7)</f>
        <v>15000000</v>
      </c>
      <c r="E427" s="33">
        <f>IFERROR(__xludf.DUMMYFUNCTION("""COMPUTED_VALUE"""),4.7E7)</f>
        <v>47000000</v>
      </c>
    </row>
    <row r="428">
      <c r="A428" s="31" t="str">
        <f>IFERROR(__xludf.DUMMYFUNCTION("""COMPUTED_VALUE"""),"The Possession")</f>
        <v>The Possession</v>
      </c>
      <c r="B428" s="32">
        <f>IFERROR(__xludf.DUMMYFUNCTION("""COMPUTED_VALUE"""),41152.0)</f>
        <v>41152</v>
      </c>
      <c r="C428" s="33" t="str">
        <f>IFERROR(__xludf.DUMMYFUNCTION("""COMPUTED_VALUE"""),"Horror")</f>
        <v>Horror</v>
      </c>
      <c r="D428" s="33">
        <f>IFERROR(__xludf.DUMMYFUNCTION("""COMPUTED_VALUE"""),1.4E7)</f>
        <v>14000000</v>
      </c>
      <c r="E428" s="33">
        <f>IFERROR(__xludf.DUMMYFUNCTION("""COMPUTED_VALUE"""),7.85E7)</f>
        <v>78500000</v>
      </c>
    </row>
    <row r="429">
      <c r="A429" s="31" t="str">
        <f>IFERROR(__xludf.DUMMYFUNCTION("""COMPUTED_VALUE"""),"The Purge")</f>
        <v>The Purge</v>
      </c>
      <c r="B429" s="32">
        <f>IFERROR(__xludf.DUMMYFUNCTION("""COMPUTED_VALUE"""),41425.0)</f>
        <v>41425</v>
      </c>
      <c r="C429" s="33" t="str">
        <f>IFERROR(__xludf.DUMMYFUNCTION("""COMPUTED_VALUE"""),"Sci-Fi")</f>
        <v>Sci-Fi</v>
      </c>
      <c r="D429" s="33">
        <f>IFERROR(__xludf.DUMMYFUNCTION("""COMPUTED_VALUE"""),3000000.0)</f>
        <v>3000000</v>
      </c>
      <c r="E429" s="33">
        <f>IFERROR(__xludf.DUMMYFUNCTION("""COMPUTED_VALUE"""),8.93E7)</f>
        <v>89300000</v>
      </c>
    </row>
    <row r="430">
      <c r="A430" s="31" t="str">
        <f>IFERROR(__xludf.DUMMYFUNCTION("""COMPUTED_VALUE"""),"The Purge: Election Year")</f>
        <v>The Purge: Election Year</v>
      </c>
      <c r="B430" s="32">
        <f>IFERROR(__xludf.DUMMYFUNCTION("""COMPUTED_VALUE"""),42552.0)</f>
        <v>42552</v>
      </c>
      <c r="C430" s="33" t="str">
        <f>IFERROR(__xludf.DUMMYFUNCTION("""COMPUTED_VALUE"""),"Horror")</f>
        <v>Horror</v>
      </c>
      <c r="D430" s="33">
        <f>IFERROR(__xludf.DUMMYFUNCTION("""COMPUTED_VALUE"""),1.0E7)</f>
        <v>10000000</v>
      </c>
      <c r="E430" s="33">
        <f>IFERROR(__xludf.DUMMYFUNCTION("""COMPUTED_VALUE"""),1.056E8)</f>
        <v>105600000</v>
      </c>
    </row>
    <row r="431">
      <c r="A431" s="31" t="str">
        <f>IFERROR(__xludf.DUMMYFUNCTION("""COMPUTED_VALUE"""),"The Raid 2")</f>
        <v>The Raid 2</v>
      </c>
      <c r="B431" s="32">
        <f>IFERROR(__xludf.DUMMYFUNCTION("""COMPUTED_VALUE"""),41660.0)</f>
        <v>41660</v>
      </c>
      <c r="C431" s="33" t="str">
        <f>IFERROR(__xludf.DUMMYFUNCTION("""COMPUTED_VALUE"""),"Action")</f>
        <v>Action</v>
      </c>
      <c r="D431" s="33">
        <f>IFERROR(__xludf.DUMMYFUNCTION("""COMPUTED_VALUE"""),4500000.0)</f>
        <v>4500000</v>
      </c>
      <c r="E431" s="33">
        <f>IFERROR(__xludf.DUMMYFUNCTION("""COMPUTED_VALUE"""),6600000.0)</f>
        <v>6600000</v>
      </c>
    </row>
    <row r="432">
      <c r="A432" s="31" t="str">
        <f>IFERROR(__xludf.DUMMYFUNCTION("""COMPUTED_VALUE"""),"The Raid: Redemption ₪")</f>
        <v>The Raid: Redemption ₪</v>
      </c>
      <c r="B432" s="32">
        <f>IFERROR(__xludf.DUMMYFUNCTION("""COMPUTED_VALUE"""),40991.0)</f>
        <v>40991</v>
      </c>
      <c r="C432" s="33" t="str">
        <f>IFERROR(__xludf.DUMMYFUNCTION("""COMPUTED_VALUE"""),"Action")</f>
        <v>Action</v>
      </c>
      <c r="D432" s="33">
        <f>IFERROR(__xludf.DUMMYFUNCTION("""COMPUTED_VALUE"""),1100000.0)</f>
        <v>1100000</v>
      </c>
      <c r="E432" s="33">
        <f>IFERROR(__xludf.DUMMYFUNCTION("""COMPUTED_VALUE"""),9140000.0)</f>
        <v>9140000</v>
      </c>
    </row>
    <row r="433">
      <c r="A433" s="31" t="str">
        <f>IFERROR(__xludf.DUMMYFUNCTION("""COMPUTED_VALUE"""),"The Raven")</f>
        <v>The Raven</v>
      </c>
      <c r="B433" s="32">
        <f>IFERROR(__xludf.DUMMYFUNCTION("""COMPUTED_VALUE"""),41026.0)</f>
        <v>41026</v>
      </c>
      <c r="C433" s="33" t="str">
        <f>IFERROR(__xludf.DUMMYFUNCTION("""COMPUTED_VALUE"""),"Thriller")</f>
        <v>Thriller</v>
      </c>
      <c r="D433" s="33">
        <f>IFERROR(__xludf.DUMMYFUNCTION("""COMPUTED_VALUE"""),2.6E7)</f>
        <v>26000000</v>
      </c>
      <c r="E433" s="33">
        <f>IFERROR(__xludf.DUMMYFUNCTION("""COMPUTED_VALUE"""),2.97E7)</f>
        <v>29700000</v>
      </c>
    </row>
    <row r="434">
      <c r="A434" s="31" t="str">
        <f>IFERROR(__xludf.DUMMYFUNCTION("""COMPUTED_VALUE"""),"The Revenant")</f>
        <v>The Revenant</v>
      </c>
      <c r="B434" s="32">
        <f>IFERROR(__xludf.DUMMYFUNCTION("""COMPUTED_VALUE"""),42363.0)</f>
        <v>42363</v>
      </c>
      <c r="C434" s="33" t="str">
        <f>IFERROR(__xludf.DUMMYFUNCTION("""COMPUTED_VALUE"""),"Thriller")</f>
        <v>Thriller</v>
      </c>
      <c r="D434" s="33">
        <f>IFERROR(__xludf.DUMMYFUNCTION("""COMPUTED_VALUE"""),1.35E8)</f>
        <v>135000000</v>
      </c>
      <c r="E434" s="33">
        <f>IFERROR(__xludf.DUMMYFUNCTION("""COMPUTED_VALUE"""),5.33E8)</f>
        <v>533000000</v>
      </c>
    </row>
    <row r="435">
      <c r="A435" s="31" t="str">
        <f>IFERROR(__xludf.DUMMYFUNCTION("""COMPUTED_VALUE"""),"The Second Best Exotic Marigold Hotel")</f>
        <v>The Second Best Exotic Marigold Hotel</v>
      </c>
      <c r="B435" s="32">
        <f>IFERROR(__xludf.DUMMYFUNCTION("""COMPUTED_VALUE"""),42061.0)</f>
        <v>42061</v>
      </c>
      <c r="C435" s="33" t="str">
        <f>IFERROR(__xludf.DUMMYFUNCTION("""COMPUTED_VALUE"""),"Comedy")</f>
        <v>Comedy</v>
      </c>
      <c r="D435" s="33">
        <f>IFERROR(__xludf.DUMMYFUNCTION("""COMPUTED_VALUE"""),1.0E7)</f>
        <v>10000000</v>
      </c>
      <c r="E435" s="33">
        <f>IFERROR(__xludf.DUMMYFUNCTION("""COMPUTED_VALUE"""),8.6E7)</f>
        <v>86000000</v>
      </c>
    </row>
    <row r="436">
      <c r="A436" s="31" t="str">
        <f>IFERROR(__xludf.DUMMYFUNCTION("""COMPUTED_VALUE"""),"The Second Mother")</f>
        <v>The Second Mother</v>
      </c>
      <c r="B436" s="32">
        <f>IFERROR(__xludf.DUMMYFUNCTION("""COMPUTED_VALUE"""),42029.0)</f>
        <v>42029</v>
      </c>
      <c r="C436" s="33" t="str">
        <f>IFERROR(__xludf.DUMMYFUNCTION("""COMPUTED_VALUE"""),"Drama")</f>
        <v>Drama</v>
      </c>
      <c r="D436" s="33">
        <f>IFERROR(__xludf.DUMMYFUNCTION("""COMPUTED_VALUE"""),4000000.0)</f>
        <v>4000000</v>
      </c>
      <c r="E436" s="33">
        <f>IFERROR(__xludf.DUMMYFUNCTION("""COMPUTED_VALUE"""),6200000.0)</f>
        <v>6200000</v>
      </c>
    </row>
    <row r="437">
      <c r="A437" s="31" t="str">
        <f>IFERROR(__xludf.DUMMYFUNCTION("""COMPUTED_VALUE"""),"The Secret Life of Pets")</f>
        <v>The Secret Life of Pets</v>
      </c>
      <c r="B437" s="32">
        <f>IFERROR(__xludf.DUMMYFUNCTION("""COMPUTED_VALUE"""),42559.0)</f>
        <v>42559</v>
      </c>
      <c r="C437" s="33" t="str">
        <f>IFERROR(__xludf.DUMMYFUNCTION("""COMPUTED_VALUE"""),"Adventure")</f>
        <v>Adventure</v>
      </c>
      <c r="D437" s="33">
        <f>IFERROR(__xludf.DUMMYFUNCTION("""COMPUTED_VALUE"""),7.5E7)</f>
        <v>75000000</v>
      </c>
      <c r="E437" s="33">
        <f>IFERROR(__xludf.DUMMYFUNCTION("""COMPUTED_VALUE"""),7.249E8)</f>
        <v>724900000</v>
      </c>
    </row>
    <row r="438">
      <c r="A438" s="31" t="str">
        <f>IFERROR(__xludf.DUMMYFUNCTION("""COMPUTED_VALUE"""),"The Secret World of Arrietty")</f>
        <v>The Secret World of Arrietty</v>
      </c>
      <c r="B438" s="32">
        <f>IFERROR(__xludf.DUMMYFUNCTION("""COMPUTED_VALUE"""),40956.0)</f>
        <v>40956</v>
      </c>
      <c r="C438" s="33" t="str">
        <f>IFERROR(__xludf.DUMMYFUNCTION("""COMPUTED_VALUE"""),"Adventure")</f>
        <v>Adventure</v>
      </c>
      <c r="D438" s="33">
        <f>IFERROR(__xludf.DUMMYFUNCTION("""COMPUTED_VALUE"""),2.3E7)</f>
        <v>23000000</v>
      </c>
      <c r="E438" s="33">
        <f>IFERROR(__xludf.DUMMYFUNCTION("""COMPUTED_VALUE"""),1.456E8)</f>
        <v>145600000</v>
      </c>
    </row>
    <row r="439">
      <c r="A439" s="31" t="str">
        <f>IFERROR(__xludf.DUMMYFUNCTION("""COMPUTED_VALUE"""),"The Shallows")</f>
        <v>The Shallows</v>
      </c>
      <c r="B439" s="32">
        <f>IFERROR(__xludf.DUMMYFUNCTION("""COMPUTED_VALUE"""),42542.0)</f>
        <v>42542</v>
      </c>
      <c r="C439" s="33" t="str">
        <f>IFERROR(__xludf.DUMMYFUNCTION("""COMPUTED_VALUE"""),"Horror")</f>
        <v>Horror</v>
      </c>
      <c r="D439" s="33">
        <f>IFERROR(__xludf.DUMMYFUNCTION("""COMPUTED_VALUE"""),1.7E7)</f>
        <v>17000000</v>
      </c>
      <c r="E439" s="33">
        <f>IFERROR(__xludf.DUMMYFUNCTION("""COMPUTED_VALUE"""),9.32E7)</f>
        <v>93200000</v>
      </c>
    </row>
    <row r="440">
      <c r="A440" s="31" t="str">
        <f>IFERROR(__xludf.DUMMYFUNCTION("""COMPUTED_VALUE"""),"The Signal")</f>
        <v>The Signal</v>
      </c>
      <c r="B440" s="32">
        <f>IFERROR(__xludf.DUMMYFUNCTION("""COMPUTED_VALUE"""),41659.0)</f>
        <v>41659</v>
      </c>
      <c r="C440" s="33" t="str">
        <f>IFERROR(__xludf.DUMMYFUNCTION("""COMPUTED_VALUE"""),"Sci-Fi")</f>
        <v>Sci-Fi</v>
      </c>
      <c r="D440" s="33">
        <f>IFERROR(__xludf.DUMMYFUNCTION("""COMPUTED_VALUE"""),4000000.0)</f>
        <v>4000000</v>
      </c>
      <c r="E440" s="33">
        <f>IFERROR(__xludf.DUMMYFUNCTION("""COMPUTED_VALUE"""),2420000.0)</f>
        <v>2420000</v>
      </c>
    </row>
    <row r="441">
      <c r="A441" s="31" t="str">
        <f>IFERROR(__xludf.DUMMYFUNCTION("""COMPUTED_VALUE"""),"The Single Moms Club")</f>
        <v>The Single Moms Club</v>
      </c>
      <c r="B441" s="32">
        <f>IFERROR(__xludf.DUMMYFUNCTION("""COMPUTED_VALUE"""),41712.0)</f>
        <v>41712</v>
      </c>
      <c r="C441" s="33" t="str">
        <f>IFERROR(__xludf.DUMMYFUNCTION("""COMPUTED_VALUE"""),"Comedy")</f>
        <v>Comedy</v>
      </c>
      <c r="D441" s="33">
        <f>IFERROR(__xludf.DUMMYFUNCTION("""COMPUTED_VALUE"""),8000000.0)</f>
        <v>8000000</v>
      </c>
      <c r="E441" s="33">
        <f>IFERROR(__xludf.DUMMYFUNCTION("""COMPUTED_VALUE"""),1.63E7)</f>
        <v>16300000</v>
      </c>
    </row>
    <row r="442">
      <c r="A442" s="31" t="str">
        <f>IFERROR(__xludf.DUMMYFUNCTION("""COMPUTED_VALUE"""),"The Smurfs 2")</f>
        <v>The Smurfs 2</v>
      </c>
      <c r="B442" s="32">
        <f>IFERROR(__xludf.DUMMYFUNCTION("""COMPUTED_VALUE"""),41486.0)</f>
        <v>41486</v>
      </c>
      <c r="C442" s="33" t="str">
        <f>IFERROR(__xludf.DUMMYFUNCTION("""COMPUTED_VALUE"""),"Adventure")</f>
        <v>Adventure</v>
      </c>
      <c r="D442" s="33">
        <f>IFERROR(__xludf.DUMMYFUNCTION("""COMPUTED_VALUE"""),1.05E8)</f>
        <v>105000000</v>
      </c>
      <c r="E442" s="33">
        <f>IFERROR(__xludf.DUMMYFUNCTION("""COMPUTED_VALUE"""),3.475E8)</f>
        <v>347500000</v>
      </c>
    </row>
    <row r="443">
      <c r="A443" s="31" t="str">
        <f>IFERROR(__xludf.DUMMYFUNCTION("""COMPUTED_VALUE"""),"The Spectacular Now")</f>
        <v>The Spectacular Now</v>
      </c>
      <c r="B443" s="32">
        <f>IFERROR(__xludf.DUMMYFUNCTION("""COMPUTED_VALUE"""),41488.0)</f>
        <v>41488</v>
      </c>
      <c r="C443" s="33" t="str">
        <f>IFERROR(__xludf.DUMMYFUNCTION("""COMPUTED_VALUE"""),"Drama")</f>
        <v>Drama</v>
      </c>
      <c r="D443" s="33">
        <f>IFERROR(__xludf.DUMMYFUNCTION("""COMPUTED_VALUE"""),2500000.0)</f>
        <v>2500000</v>
      </c>
      <c r="E443" s="33">
        <f>IFERROR(__xludf.DUMMYFUNCTION("""COMPUTED_VALUE"""),6900000.0)</f>
        <v>6900000</v>
      </c>
    </row>
    <row r="444">
      <c r="A444" s="31" t="str">
        <f>IFERROR(__xludf.DUMMYFUNCTION("""COMPUTED_VALUE"""),"The SpongeBob Movie: Sponge Out of Water")</f>
        <v>The SpongeBob Movie: Sponge Out of Water</v>
      </c>
      <c r="B444" s="32">
        <f>IFERROR(__xludf.DUMMYFUNCTION("""COMPUTED_VALUE"""),42041.0)</f>
        <v>42041</v>
      </c>
      <c r="C444" s="33" t="str">
        <f>IFERROR(__xludf.DUMMYFUNCTION("""COMPUTED_VALUE"""),"Adventure")</f>
        <v>Adventure</v>
      </c>
      <c r="D444" s="33">
        <f>IFERROR(__xludf.DUMMYFUNCTION("""COMPUTED_VALUE"""),7.4E7)</f>
        <v>74000000</v>
      </c>
      <c r="E444" s="33">
        <f>IFERROR(__xludf.DUMMYFUNCTION("""COMPUTED_VALUE"""),3.234E8)</f>
        <v>323400000</v>
      </c>
    </row>
    <row r="445">
      <c r="A445" s="31" t="str">
        <f>IFERROR(__xludf.DUMMYFUNCTION("""COMPUTED_VALUE"""),"The Sweet Escape")</f>
        <v>The Sweet Escape</v>
      </c>
      <c r="B445" s="32">
        <f>IFERROR(__xludf.DUMMYFUNCTION("""COMPUTED_VALUE"""),42165.0)</f>
        <v>42165</v>
      </c>
      <c r="C445" s="33" t="str">
        <f>IFERROR(__xludf.DUMMYFUNCTION("""COMPUTED_VALUE"""),"Comedy")</f>
        <v>Comedy</v>
      </c>
      <c r="D445" s="33">
        <f>IFERROR(__xludf.DUMMYFUNCTION("""COMPUTED_VALUE"""),3800000.0)</f>
        <v>3800000</v>
      </c>
      <c r="E445" s="33">
        <f>IFERROR(__xludf.DUMMYFUNCTION("""COMPUTED_VALUE"""),3300000.0)</f>
        <v>3300000</v>
      </c>
    </row>
    <row r="446">
      <c r="A446" s="31" t="str">
        <f>IFERROR(__xludf.DUMMYFUNCTION("""COMPUTED_VALUE"""),"The Theory of Everything")</f>
        <v>The Theory of Everything</v>
      </c>
      <c r="B446" s="32">
        <f>IFERROR(__xludf.DUMMYFUNCTION("""COMPUTED_VALUE"""),41889.0)</f>
        <v>41889</v>
      </c>
      <c r="C446" s="33" t="str">
        <f>IFERROR(__xludf.DUMMYFUNCTION("""COMPUTED_VALUE"""),"Biography")</f>
        <v>Biography</v>
      </c>
      <c r="D446" s="33">
        <f>IFERROR(__xludf.DUMMYFUNCTION("""COMPUTED_VALUE"""),1.5E7)</f>
        <v>15000000</v>
      </c>
      <c r="E446" s="33">
        <f>IFERROR(__xludf.DUMMYFUNCTION("""COMPUTED_VALUE"""),1.237E8)</f>
        <v>123700000</v>
      </c>
    </row>
    <row r="447">
      <c r="A447" s="31" t="str">
        <f>IFERROR(__xludf.DUMMYFUNCTION("""COMPUTED_VALUE"""),"The Three Stooges")</f>
        <v>The Three Stooges</v>
      </c>
      <c r="B447" s="32">
        <f>IFERROR(__xludf.DUMMYFUNCTION("""COMPUTED_VALUE"""),41012.0)</f>
        <v>41012</v>
      </c>
      <c r="C447" s="33" t="str">
        <f>IFERROR(__xludf.DUMMYFUNCTION("""COMPUTED_VALUE"""),"Comedy")</f>
        <v>Comedy</v>
      </c>
      <c r="D447" s="33">
        <f>IFERROR(__xludf.DUMMYFUNCTION("""COMPUTED_VALUE"""),3.0E7)</f>
        <v>30000000</v>
      </c>
      <c r="E447" s="33">
        <f>IFERROR(__xludf.DUMMYFUNCTION("""COMPUTED_VALUE"""),5.48E7)</f>
        <v>54800000</v>
      </c>
    </row>
    <row r="448">
      <c r="A448" s="31" t="str">
        <f>IFERROR(__xludf.DUMMYFUNCTION("""COMPUTED_VALUE"""),"The Transporter Refueled")</f>
        <v>The Transporter Refueled</v>
      </c>
      <c r="B448" s="32">
        <f>IFERROR(__xludf.DUMMYFUNCTION("""COMPUTED_VALUE"""),42251.0)</f>
        <v>42251</v>
      </c>
      <c r="C448" s="33" t="str">
        <f>IFERROR(__xludf.DUMMYFUNCTION("""COMPUTED_VALUE"""),"Action")</f>
        <v>Action</v>
      </c>
      <c r="D448" s="33">
        <f>IFERROR(__xludf.DUMMYFUNCTION("""COMPUTED_VALUE"""),2.5E7)</f>
        <v>25000000</v>
      </c>
      <c r="E448" s="33">
        <f>IFERROR(__xludf.DUMMYFUNCTION("""COMPUTED_VALUE"""),7.26E7)</f>
        <v>72600000</v>
      </c>
    </row>
    <row r="449">
      <c r="A449" s="31" t="str">
        <f>IFERROR(__xludf.DUMMYFUNCTION("""COMPUTED_VALUE"""),"The Twilight Saga: Breaking Dawn – Part 2")</f>
        <v>The Twilight Saga: Breaking Dawn – Part 2</v>
      </c>
      <c r="B449" s="32">
        <f>IFERROR(__xludf.DUMMYFUNCTION("""COMPUTED_VALUE"""),41229.0)</f>
        <v>41229</v>
      </c>
      <c r="C449" s="33" t="str">
        <f>IFERROR(__xludf.DUMMYFUNCTION("""COMPUTED_VALUE"""),"Fantasy")</f>
        <v>Fantasy</v>
      </c>
      <c r="D449" s="33">
        <f>IFERROR(__xludf.DUMMYFUNCTION("""COMPUTED_VALUE"""),1.2E8)</f>
        <v>120000000</v>
      </c>
      <c r="E449" s="33">
        <f>IFERROR(__xludf.DUMMYFUNCTION("""COMPUTED_VALUE"""),8.297E8)</f>
        <v>829700000</v>
      </c>
    </row>
    <row r="450">
      <c r="A450" s="31" t="str">
        <f>IFERROR(__xludf.DUMMYFUNCTION("""COMPUTED_VALUE"""),"The Vatican Tapes")</f>
        <v>The Vatican Tapes</v>
      </c>
      <c r="B450" s="32">
        <f>IFERROR(__xludf.DUMMYFUNCTION("""COMPUTED_VALUE"""),42210.0)</f>
        <v>42210</v>
      </c>
      <c r="C450" s="33" t="str">
        <f>IFERROR(__xludf.DUMMYFUNCTION("""COMPUTED_VALUE"""),"Horror")</f>
        <v>Horror</v>
      </c>
      <c r="D450" s="33">
        <f>IFERROR(__xludf.DUMMYFUNCTION("""COMPUTED_VALUE"""),1.3E7)</f>
        <v>13000000</v>
      </c>
      <c r="E450" s="33">
        <f>IFERROR(__xludf.DUMMYFUNCTION("""COMPUTED_VALUE"""),1.35E7)</f>
        <v>13500000</v>
      </c>
    </row>
    <row r="451">
      <c r="A451" s="31" t="str">
        <f>IFERROR(__xludf.DUMMYFUNCTION("""COMPUTED_VALUE"""),"The Visit")</f>
        <v>The Visit</v>
      </c>
      <c r="B451" s="32">
        <f>IFERROR(__xludf.DUMMYFUNCTION("""COMPUTED_VALUE"""),42255.0)</f>
        <v>42255</v>
      </c>
      <c r="C451" s="33" t="str">
        <f>IFERROR(__xludf.DUMMYFUNCTION("""COMPUTED_VALUE"""),"Horror")</f>
        <v>Horror</v>
      </c>
      <c r="D451" s="33">
        <f>IFERROR(__xludf.DUMMYFUNCTION("""COMPUTED_VALUE"""),5000000.0)</f>
        <v>5000000</v>
      </c>
      <c r="E451" s="33">
        <f>IFERROR(__xludf.DUMMYFUNCTION("""COMPUTED_VALUE"""),9.85E7)</f>
        <v>98500000</v>
      </c>
    </row>
    <row r="452">
      <c r="A452" s="31" t="str">
        <f>IFERROR(__xludf.DUMMYFUNCTION("""COMPUTED_VALUE"""),"The Walk")</f>
        <v>The Walk</v>
      </c>
      <c r="B452" s="32">
        <f>IFERROR(__xludf.DUMMYFUNCTION("""COMPUTED_VALUE"""),42277.0)</f>
        <v>42277</v>
      </c>
      <c r="C452" s="33" t="str">
        <f>IFERROR(__xludf.DUMMYFUNCTION("""COMPUTED_VALUE"""),"Biography")</f>
        <v>Biography</v>
      </c>
      <c r="D452" s="33">
        <f>IFERROR(__xludf.DUMMYFUNCTION("""COMPUTED_VALUE"""),4.5E7)</f>
        <v>45000000</v>
      </c>
      <c r="E452" s="33">
        <f>IFERROR(__xludf.DUMMYFUNCTION("""COMPUTED_VALUE"""),6.12E7)</f>
        <v>61200000</v>
      </c>
    </row>
    <row r="453">
      <c r="A453" s="31" t="str">
        <f>IFERROR(__xludf.DUMMYFUNCTION("""COMPUTED_VALUE"""),"The Watch")</f>
        <v>The Watch</v>
      </c>
      <c r="B453" s="32">
        <f>IFERROR(__xludf.DUMMYFUNCTION("""COMPUTED_VALUE"""),41117.0)</f>
        <v>41117</v>
      </c>
      <c r="C453" s="33" t="str">
        <f>IFERROR(__xludf.DUMMYFUNCTION("""COMPUTED_VALUE"""),"Comedy")</f>
        <v>Comedy</v>
      </c>
      <c r="D453" s="33">
        <f>IFERROR(__xludf.DUMMYFUNCTION("""COMPUTED_VALUE"""),6.8E7)</f>
        <v>68000000</v>
      </c>
      <c r="E453" s="33">
        <f>IFERROR(__xludf.DUMMYFUNCTION("""COMPUTED_VALUE"""),6.83E7)</f>
        <v>68300000</v>
      </c>
    </row>
    <row r="454">
      <c r="A454" s="31" t="str">
        <f>IFERROR(__xludf.DUMMYFUNCTION("""COMPUTED_VALUE"""),"The Water Diviner")</f>
        <v>The Water Diviner</v>
      </c>
      <c r="B454" s="32">
        <f>IFERROR(__xludf.DUMMYFUNCTION("""COMPUTED_VALUE"""),41999.0)</f>
        <v>41999</v>
      </c>
      <c r="C454" s="33" t="str">
        <f>IFERROR(__xludf.DUMMYFUNCTION("""COMPUTED_VALUE"""),"Drama")</f>
        <v>Drama</v>
      </c>
      <c r="D454" s="33">
        <f>IFERROR(__xludf.DUMMYFUNCTION("""COMPUTED_VALUE"""),2.25E7)</f>
        <v>22500000</v>
      </c>
      <c r="E454" s="33">
        <f>IFERROR(__xludf.DUMMYFUNCTION("""COMPUTED_VALUE"""),3.08E7)</f>
        <v>30800000</v>
      </c>
    </row>
    <row r="455">
      <c r="A455" s="31" t="str">
        <f>IFERROR(__xludf.DUMMYFUNCTION("""COMPUTED_VALUE"""),"The Way, Way Back")</f>
        <v>The Way, Way Back</v>
      </c>
      <c r="B455" s="32">
        <f>IFERROR(__xludf.DUMMYFUNCTION("""COMPUTED_VALUE"""),41460.0)</f>
        <v>41460</v>
      </c>
      <c r="C455" s="33" t="str">
        <f>IFERROR(__xludf.DUMMYFUNCTION("""COMPUTED_VALUE"""),"Comedy")</f>
        <v>Comedy</v>
      </c>
      <c r="D455" s="33">
        <f>IFERROR(__xludf.DUMMYFUNCTION("""COMPUTED_VALUE"""),5000000.0)</f>
        <v>5000000</v>
      </c>
      <c r="E455" s="33">
        <f>IFERROR(__xludf.DUMMYFUNCTION("""COMPUTED_VALUE"""),5000000.0)</f>
        <v>5000000</v>
      </c>
    </row>
    <row r="456">
      <c r="A456" s="31" t="str">
        <f>IFERROR(__xludf.DUMMYFUNCTION("""COMPUTED_VALUE"""),"The Wedding Ringer")</f>
        <v>The Wedding Ringer</v>
      </c>
      <c r="B456" s="32">
        <f>IFERROR(__xludf.DUMMYFUNCTION("""COMPUTED_VALUE"""),42020.0)</f>
        <v>42020</v>
      </c>
      <c r="C456" s="33" t="str">
        <f>IFERROR(__xludf.DUMMYFUNCTION("""COMPUTED_VALUE"""),"Romance")</f>
        <v>Romance</v>
      </c>
      <c r="D456" s="33">
        <f>IFERROR(__xludf.DUMMYFUNCTION("""COMPUTED_VALUE"""),2.3E7)</f>
        <v>23000000</v>
      </c>
      <c r="E456" s="33">
        <f>IFERROR(__xludf.DUMMYFUNCTION("""COMPUTED_VALUE"""),7.98E7)</f>
        <v>79800000</v>
      </c>
    </row>
    <row r="457">
      <c r="A457" s="31" t="str">
        <f>IFERROR(__xludf.DUMMYFUNCTION("""COMPUTED_VALUE"""),"The Witch")</f>
        <v>The Witch</v>
      </c>
      <c r="B457" s="32">
        <f>IFERROR(__xludf.DUMMYFUNCTION("""COMPUTED_VALUE"""),42396.0)</f>
        <v>42396</v>
      </c>
      <c r="C457" s="33" t="str">
        <f>IFERROR(__xludf.DUMMYFUNCTION("""COMPUTED_VALUE"""),"Horror")</f>
        <v>Horror</v>
      </c>
      <c r="D457" s="33">
        <f>IFERROR(__xludf.DUMMYFUNCTION("""COMPUTED_VALUE"""),3000000.0)</f>
        <v>3000000</v>
      </c>
      <c r="E457" s="33">
        <f>IFERROR(__xludf.DUMMYFUNCTION("""COMPUTED_VALUE"""),4.04E7)</f>
        <v>40400000</v>
      </c>
    </row>
    <row r="458">
      <c r="A458" s="31" t="str">
        <f>IFERROR(__xludf.DUMMYFUNCTION("""COMPUTED_VALUE"""),"The Wolverine")</f>
        <v>The Wolverine</v>
      </c>
      <c r="B458" s="32">
        <f>IFERROR(__xludf.DUMMYFUNCTION("""COMPUTED_VALUE"""),41479.0)</f>
        <v>41479</v>
      </c>
      <c r="C458" s="33" t="str">
        <f>IFERROR(__xludf.DUMMYFUNCTION("""COMPUTED_VALUE"""),"Action")</f>
        <v>Action</v>
      </c>
      <c r="D458" s="33">
        <f>IFERROR(__xludf.DUMMYFUNCTION("""COMPUTED_VALUE"""),1.2E8)</f>
        <v>120000000</v>
      </c>
      <c r="E458" s="33">
        <f>IFERROR(__xludf.DUMMYFUNCTION("""COMPUTED_VALUE"""),4.148E8)</f>
        <v>414800000</v>
      </c>
    </row>
    <row r="459">
      <c r="A459" s="31" t="str">
        <f>IFERROR(__xludf.DUMMYFUNCTION("""COMPUTED_VALUE"""),"The Woman in Black")</f>
        <v>The Woman in Black</v>
      </c>
      <c r="B459" s="32">
        <f>IFERROR(__xludf.DUMMYFUNCTION("""COMPUTED_VALUE"""),40942.0)</f>
        <v>40942</v>
      </c>
      <c r="C459" s="33" t="str">
        <f>IFERROR(__xludf.DUMMYFUNCTION("""COMPUTED_VALUE"""),"Horror")</f>
        <v>Horror</v>
      </c>
      <c r="D459" s="33">
        <f>IFERROR(__xludf.DUMMYFUNCTION("""COMPUTED_VALUE"""),1.5E7)</f>
        <v>15000000</v>
      </c>
      <c r="E459" s="33">
        <f>IFERROR(__xludf.DUMMYFUNCTION("""COMPUTED_VALUE"""),1.285E8)</f>
        <v>128500000</v>
      </c>
    </row>
    <row r="460">
      <c r="A460" s="31" t="str">
        <f>IFERROR(__xludf.DUMMYFUNCTION("""COMPUTED_VALUE"""),"The Woman in Black: Angel of Death")</f>
        <v>The Woman in Black: Angel of Death</v>
      </c>
      <c r="B460" s="32">
        <f>IFERROR(__xludf.DUMMYFUNCTION("""COMPUTED_VALUE"""),42003.0)</f>
        <v>42003</v>
      </c>
      <c r="C460" s="33" t="str">
        <f>IFERROR(__xludf.DUMMYFUNCTION("""COMPUTED_VALUE"""),"Horror")</f>
        <v>Horror</v>
      </c>
      <c r="D460" s="33">
        <f>IFERROR(__xludf.DUMMYFUNCTION("""COMPUTED_VALUE"""),1.5E7)</f>
        <v>15000000</v>
      </c>
      <c r="E460" s="33">
        <f>IFERROR(__xludf.DUMMYFUNCTION("""COMPUTED_VALUE"""),4.89E7)</f>
        <v>48900000</v>
      </c>
    </row>
    <row r="461">
      <c r="A461" s="31" t="str">
        <f>IFERROR(__xludf.DUMMYFUNCTION("""COMPUTED_VALUE"""),"The World's End")</f>
        <v>The World's End</v>
      </c>
      <c r="B461" s="32">
        <f>IFERROR(__xludf.DUMMYFUNCTION("""COMPUTED_VALUE"""),41474.0)</f>
        <v>41474</v>
      </c>
      <c r="C461" s="33" t="str">
        <f>IFERROR(__xludf.DUMMYFUNCTION("""COMPUTED_VALUE"""),"Comedy")</f>
        <v>Comedy</v>
      </c>
      <c r="D461" s="33">
        <f>IFERROR(__xludf.DUMMYFUNCTION("""COMPUTED_VALUE"""),2.0E7)</f>
        <v>20000000</v>
      </c>
      <c r="E461" s="33">
        <f>IFERROR(__xludf.DUMMYFUNCTION("""COMPUTED_VALUE"""),4.61E7)</f>
        <v>46100000</v>
      </c>
    </row>
    <row r="462">
      <c r="A462" s="31" t="str">
        <f>IFERROR(__xludf.DUMMYFUNCTION("""COMPUTED_VALUE"""),"The Young Messiah")</f>
        <v>The Young Messiah</v>
      </c>
      <c r="B462" s="32">
        <f>IFERROR(__xludf.DUMMYFUNCTION("""COMPUTED_VALUE"""),42440.0)</f>
        <v>42440</v>
      </c>
      <c r="C462" s="33" t="str">
        <f>IFERROR(__xludf.DUMMYFUNCTION("""COMPUTED_VALUE"""),"Drama")</f>
        <v>Drama</v>
      </c>
      <c r="D462" s="33">
        <f>IFERROR(__xludf.DUMMYFUNCTION("""COMPUTED_VALUE"""),1.85E7)</f>
        <v>18500000</v>
      </c>
      <c r="E462" s="33">
        <f>IFERROR(__xludf.DUMMYFUNCTION("""COMPUTED_VALUE"""),7200000.0)</f>
        <v>7200000</v>
      </c>
    </row>
    <row r="463">
      <c r="A463" s="31" t="str">
        <f>IFERROR(__xludf.DUMMYFUNCTION("""COMPUTED_VALUE"""),"Think Like a Man")</f>
        <v>Think Like a Man</v>
      </c>
      <c r="B463" s="32">
        <f>IFERROR(__xludf.DUMMYFUNCTION("""COMPUTED_VALUE"""),41019.0)</f>
        <v>41019</v>
      </c>
      <c r="C463" s="33" t="str">
        <f>IFERROR(__xludf.DUMMYFUNCTION("""COMPUTED_VALUE"""),"Comedy")</f>
        <v>Comedy</v>
      </c>
      <c r="D463" s="33">
        <f>IFERROR(__xludf.DUMMYFUNCTION("""COMPUTED_VALUE"""),1.2E7)</f>
        <v>12000000</v>
      </c>
      <c r="E463" s="33">
        <f>IFERROR(__xludf.DUMMYFUNCTION("""COMPUTED_VALUE"""),9.61E7)</f>
        <v>96100000</v>
      </c>
    </row>
    <row r="464">
      <c r="A464" s="31" t="str">
        <f>IFERROR(__xludf.DUMMYFUNCTION("""COMPUTED_VALUE"""),"This Is the End")</f>
        <v>This Is the End</v>
      </c>
      <c r="B464" s="32">
        <f>IFERROR(__xludf.DUMMYFUNCTION("""COMPUTED_VALUE"""),41437.0)</f>
        <v>41437</v>
      </c>
      <c r="C464" s="33" t="str">
        <f>IFERROR(__xludf.DUMMYFUNCTION("""COMPUTED_VALUE"""),"Comedy")</f>
        <v>Comedy</v>
      </c>
      <c r="D464" s="33">
        <f>IFERROR(__xludf.DUMMYFUNCTION("""COMPUTED_VALUE"""),3.2E7)</f>
        <v>32000000</v>
      </c>
      <c r="E464" s="33">
        <f>IFERROR(__xludf.DUMMYFUNCTION("""COMPUTED_VALUE"""),1.26E8)</f>
        <v>126000000</v>
      </c>
    </row>
    <row r="465">
      <c r="A465" s="31" t="str">
        <f>IFERROR(__xludf.DUMMYFUNCTION("""COMPUTED_VALUE"""),"This Is Where I Leave You")</f>
        <v>This Is Where I Leave You</v>
      </c>
      <c r="B465" s="32">
        <f>IFERROR(__xludf.DUMMYFUNCTION("""COMPUTED_VALUE"""),41901.0)</f>
        <v>41901</v>
      </c>
      <c r="C465" s="33" t="str">
        <f>IFERROR(__xludf.DUMMYFUNCTION("""COMPUTED_VALUE"""),"Comedy")</f>
        <v>Comedy</v>
      </c>
      <c r="D465" s="33">
        <f>IFERROR(__xludf.DUMMYFUNCTION("""COMPUTED_VALUE"""),1.98E7)</f>
        <v>19800000</v>
      </c>
      <c r="E465" s="33">
        <f>IFERROR(__xludf.DUMMYFUNCTION("""COMPUTED_VALUE"""),4.13E7)</f>
        <v>41300000</v>
      </c>
    </row>
    <row r="466">
      <c r="A466" s="31" t="str">
        <f>IFERROR(__xludf.DUMMYFUNCTION("""COMPUTED_VALUE"""),"This Means War")</f>
        <v>This Means War</v>
      </c>
      <c r="B466" s="32">
        <f>IFERROR(__xludf.DUMMYFUNCTION("""COMPUTED_VALUE"""),40956.0)</f>
        <v>40956</v>
      </c>
      <c r="C466" s="33" t="str">
        <f>IFERROR(__xludf.DUMMYFUNCTION("""COMPUTED_VALUE"""),"Action")</f>
        <v>Action</v>
      </c>
      <c r="D466" s="33">
        <f>IFERROR(__xludf.DUMMYFUNCTION("""COMPUTED_VALUE"""),6.5E7)</f>
        <v>65000000</v>
      </c>
      <c r="E466" s="33">
        <f>IFERROR(__xludf.DUMMYFUNCTION("""COMPUTED_VALUE"""),1.565E8)</f>
        <v>156500000</v>
      </c>
    </row>
    <row r="467">
      <c r="A467" s="31" t="str">
        <f>IFERROR(__xludf.DUMMYFUNCTION("""COMPUTED_VALUE"""),"Top Five")</f>
        <v>Top Five</v>
      </c>
      <c r="B467" s="32">
        <f>IFERROR(__xludf.DUMMYFUNCTION("""COMPUTED_VALUE"""),41888.0)</f>
        <v>41888</v>
      </c>
      <c r="C467" s="33" t="str">
        <f>IFERROR(__xludf.DUMMYFUNCTION("""COMPUTED_VALUE"""),"Comedy")</f>
        <v>Comedy</v>
      </c>
      <c r="D467" s="33">
        <f>IFERROR(__xludf.DUMMYFUNCTION("""COMPUTED_VALUE"""),1.2E7)</f>
        <v>12000000</v>
      </c>
      <c r="E467" s="33">
        <f>IFERROR(__xludf.DUMMYFUNCTION("""COMPUTED_VALUE"""),2.61E7)</f>
        <v>26100000</v>
      </c>
    </row>
    <row r="468">
      <c r="A468" s="31" t="str">
        <f>IFERROR(__xludf.DUMMYFUNCTION("""COMPUTED_VALUE"""),"Top Gun 3D")</f>
        <v>Top Gun 3D</v>
      </c>
      <c r="B468" s="32">
        <f>IFERROR(__xludf.DUMMYFUNCTION("""COMPUTED_VALUE"""),41313.0)</f>
        <v>41313</v>
      </c>
      <c r="C468" s="33" t="str">
        <f>IFERROR(__xludf.DUMMYFUNCTION("""COMPUTED_VALUE"""),"Action")</f>
        <v>Action</v>
      </c>
      <c r="D468" s="33">
        <f>IFERROR(__xludf.DUMMYFUNCTION("""COMPUTED_VALUE"""),1.5E7)</f>
        <v>15000000</v>
      </c>
      <c r="E468" s="33">
        <f>IFERROR(__xludf.DUMMYFUNCTION("""COMPUTED_VALUE"""),3.568E8)</f>
        <v>356800000</v>
      </c>
    </row>
    <row r="469">
      <c r="A469" s="31" t="str">
        <f>IFERROR(__xludf.DUMMYFUNCTION("""COMPUTED_VALUE"""),"Total Recall")</f>
        <v>Total Recall</v>
      </c>
      <c r="B469" s="32">
        <f>IFERROR(__xludf.DUMMYFUNCTION("""COMPUTED_VALUE"""),41124.0)</f>
        <v>41124</v>
      </c>
      <c r="C469" s="33" t="str">
        <f>IFERROR(__xludf.DUMMYFUNCTION("""COMPUTED_VALUE"""),"Action")</f>
        <v>Action</v>
      </c>
      <c r="D469" s="33">
        <f>IFERROR(__xludf.DUMMYFUNCTION("""COMPUTED_VALUE"""),1.25E8)</f>
        <v>125000000</v>
      </c>
      <c r="E469" s="33">
        <f>IFERROR(__xludf.DUMMYFUNCTION("""COMPUTED_VALUE"""),1.985E8)</f>
        <v>198500000</v>
      </c>
    </row>
    <row r="470">
      <c r="A470" s="31" t="str">
        <f>IFERROR(__xludf.DUMMYFUNCTION("""COMPUTED_VALUE"""),"Trance")</f>
        <v>Trance</v>
      </c>
      <c r="B470" s="32">
        <f>IFERROR(__xludf.DUMMYFUNCTION("""COMPUTED_VALUE"""),41360.0)</f>
        <v>41360</v>
      </c>
      <c r="C470" s="33" t="str">
        <f>IFERROR(__xludf.DUMMYFUNCTION("""COMPUTED_VALUE"""),"Crime")</f>
        <v>Crime</v>
      </c>
      <c r="D470" s="33">
        <f>IFERROR(__xludf.DUMMYFUNCTION("""COMPUTED_VALUE"""),2.0E7)</f>
        <v>20000000</v>
      </c>
      <c r="E470" s="33">
        <f>IFERROR(__xludf.DUMMYFUNCTION("""COMPUTED_VALUE"""),2.43E7)</f>
        <v>24300000</v>
      </c>
    </row>
    <row r="471">
      <c r="A471" s="31" t="str">
        <f>IFERROR(__xludf.DUMMYFUNCTION("""COMPUTED_VALUE"""),"Transcendence")</f>
        <v>Transcendence</v>
      </c>
      <c r="B471" s="32">
        <f>IFERROR(__xludf.DUMMYFUNCTION("""COMPUTED_VALUE"""),41739.0)</f>
        <v>41739</v>
      </c>
      <c r="C471" s="33" t="str">
        <f>IFERROR(__xludf.DUMMYFUNCTION("""COMPUTED_VALUE"""),"Sci-Fi")</f>
        <v>Sci-Fi</v>
      </c>
      <c r="D471" s="33">
        <f>IFERROR(__xludf.DUMMYFUNCTION("""COMPUTED_VALUE"""),1.0E8)</f>
        <v>100000000</v>
      </c>
      <c r="E471" s="33">
        <f>IFERROR(__xludf.DUMMYFUNCTION("""COMPUTED_VALUE"""),1.03E8)</f>
        <v>103000000</v>
      </c>
    </row>
    <row r="472">
      <c r="A472" s="31" t="str">
        <f>IFERROR(__xludf.DUMMYFUNCTION("""COMPUTED_VALUE"""),"Triple 9")</f>
        <v>Triple 9</v>
      </c>
      <c r="B472" s="32">
        <f>IFERROR(__xludf.DUMMYFUNCTION("""COMPUTED_VALUE"""),42416.0)</f>
        <v>42416</v>
      </c>
      <c r="C472" s="33" t="str">
        <f>IFERROR(__xludf.DUMMYFUNCTION("""COMPUTED_VALUE"""),"Crime")</f>
        <v>Crime</v>
      </c>
      <c r="D472" s="33">
        <f>IFERROR(__xludf.DUMMYFUNCTION("""COMPUTED_VALUE"""),2.0E7)</f>
        <v>20000000</v>
      </c>
      <c r="E472" s="33">
        <f>IFERROR(__xludf.DUMMYFUNCTION("""COMPUTED_VALUE"""),2.34E7)</f>
        <v>23400000</v>
      </c>
    </row>
    <row r="473">
      <c r="A473" s="31" t="str">
        <f>IFERROR(__xludf.DUMMYFUNCTION("""COMPUTED_VALUE"""),"Trouble with the Curve")</f>
        <v>Trouble with the Curve</v>
      </c>
      <c r="B473" s="32">
        <f>IFERROR(__xludf.DUMMYFUNCTION("""COMPUTED_VALUE"""),41173.0)</f>
        <v>41173</v>
      </c>
      <c r="C473" s="33" t="str">
        <f>IFERROR(__xludf.DUMMYFUNCTION("""COMPUTED_VALUE"""),"Drama")</f>
        <v>Drama</v>
      </c>
      <c r="D473" s="33">
        <f>IFERROR(__xludf.DUMMYFUNCTION("""COMPUTED_VALUE"""),6.0E7)</f>
        <v>60000000</v>
      </c>
      <c r="E473" s="33">
        <f>IFERROR(__xludf.DUMMYFUNCTION("""COMPUTED_VALUE"""),4.9E7)</f>
        <v>49000000</v>
      </c>
    </row>
    <row r="474">
      <c r="A474" s="31" t="str">
        <f>IFERROR(__xludf.DUMMYFUNCTION("""COMPUTED_VALUE"""),"Trumbo")</f>
        <v>Trumbo</v>
      </c>
      <c r="B474" s="32">
        <f>IFERROR(__xludf.DUMMYFUNCTION("""COMPUTED_VALUE"""),42259.0)</f>
        <v>42259</v>
      </c>
      <c r="C474" s="33" t="str">
        <f>IFERROR(__xludf.DUMMYFUNCTION("""COMPUTED_VALUE"""),"Drama")</f>
        <v>Drama</v>
      </c>
      <c r="D474" s="33">
        <f>IFERROR(__xludf.DUMMYFUNCTION("""COMPUTED_VALUE"""),1.5E7)</f>
        <v>15000000</v>
      </c>
      <c r="E474" s="33">
        <f>IFERROR(__xludf.DUMMYFUNCTION("""COMPUTED_VALUE"""),8199999.999999999)</f>
        <v>8200000</v>
      </c>
    </row>
    <row r="475">
      <c r="A475" s="31" t="str">
        <f>IFERROR(__xludf.DUMMYFUNCTION("""COMPUTED_VALUE"""),"Truth")</f>
        <v>Truth</v>
      </c>
      <c r="B475" s="32">
        <f>IFERROR(__xludf.DUMMYFUNCTION("""COMPUTED_VALUE"""),42259.0)</f>
        <v>42259</v>
      </c>
      <c r="C475" s="33" t="str">
        <f>IFERROR(__xludf.DUMMYFUNCTION("""COMPUTED_VALUE"""),"Drama")</f>
        <v>Drama</v>
      </c>
      <c r="D475" s="33">
        <f>IFERROR(__xludf.DUMMYFUNCTION("""COMPUTED_VALUE"""),9600000.0)</f>
        <v>9600000</v>
      </c>
      <c r="E475" s="33">
        <f>IFERROR(__xludf.DUMMYFUNCTION("""COMPUTED_VALUE"""),5400000.0)</f>
        <v>5400000</v>
      </c>
    </row>
    <row r="476">
      <c r="A476" s="31" t="str">
        <f>IFERROR(__xludf.DUMMYFUNCTION("""COMPUTED_VALUE"""),"Turbo")</f>
        <v>Turbo</v>
      </c>
      <c r="B476" s="32">
        <f>IFERROR(__xludf.DUMMYFUNCTION("""COMPUTED_VALUE"""),41472.0)</f>
        <v>41472</v>
      </c>
      <c r="C476" s="33" t="str">
        <f>IFERROR(__xludf.DUMMYFUNCTION("""COMPUTED_VALUE"""),"Comedy")</f>
        <v>Comedy</v>
      </c>
      <c r="D476" s="33">
        <f>IFERROR(__xludf.DUMMYFUNCTION("""COMPUTED_VALUE"""),1.27E8)</f>
        <v>127000000</v>
      </c>
      <c r="E476" s="33">
        <f>IFERROR(__xludf.DUMMYFUNCTION("""COMPUTED_VALUE"""),2.826E8)</f>
        <v>282600000</v>
      </c>
    </row>
    <row r="477">
      <c r="A477" s="31" t="str">
        <f>IFERROR(__xludf.DUMMYFUNCTION("""COMPUTED_VALUE"""),"Tusk")</f>
        <v>Tusk</v>
      </c>
      <c r="B477" s="32">
        <f>IFERROR(__xludf.DUMMYFUNCTION("""COMPUTED_VALUE"""),41888.0)</f>
        <v>41888</v>
      </c>
      <c r="C477" s="33" t="str">
        <f>IFERROR(__xludf.DUMMYFUNCTION("""COMPUTED_VALUE"""),"Horror")</f>
        <v>Horror</v>
      </c>
      <c r="D477" s="33">
        <f>IFERROR(__xludf.DUMMYFUNCTION("""COMPUTED_VALUE"""),3000000.0)</f>
        <v>3000000</v>
      </c>
      <c r="E477" s="33">
        <f>IFERROR(__xludf.DUMMYFUNCTION("""COMPUTED_VALUE"""),1900000.0)</f>
        <v>1900000</v>
      </c>
    </row>
    <row r="478">
      <c r="A478" s="31" t="str">
        <f>IFERROR(__xludf.DUMMYFUNCTION("""COMPUTED_VALUE"""),"Unbroken")</f>
        <v>Unbroken</v>
      </c>
      <c r="B478" s="32">
        <f>IFERROR(__xludf.DUMMYFUNCTION("""COMPUTED_VALUE"""),41960.0)</f>
        <v>41960</v>
      </c>
      <c r="C478" s="33" t="str">
        <f>IFERROR(__xludf.DUMMYFUNCTION("""COMPUTED_VALUE"""),"Drama")</f>
        <v>Drama</v>
      </c>
      <c r="D478" s="33">
        <f>IFERROR(__xludf.DUMMYFUNCTION("""COMPUTED_VALUE"""),6.5E7)</f>
        <v>65000000</v>
      </c>
      <c r="E478" s="33">
        <f>IFERROR(__xludf.DUMMYFUNCTION("""COMPUTED_VALUE"""),1.634E8)</f>
        <v>163400000</v>
      </c>
    </row>
    <row r="479">
      <c r="A479" s="31" t="str">
        <f>IFERROR(__xludf.DUMMYFUNCTION("""COMPUTED_VALUE"""),"Unfinished Business")</f>
        <v>Unfinished Business</v>
      </c>
      <c r="B479" s="32">
        <f>IFERROR(__xludf.DUMMYFUNCTION("""COMPUTED_VALUE"""),42069.0)</f>
        <v>42069</v>
      </c>
      <c r="C479" s="33" t="str">
        <f>IFERROR(__xludf.DUMMYFUNCTION("""COMPUTED_VALUE"""),"Comedy")</f>
        <v>Comedy</v>
      </c>
      <c r="D479" s="33">
        <f>IFERROR(__xludf.DUMMYFUNCTION("""COMPUTED_VALUE"""),3.5E7)</f>
        <v>35000000</v>
      </c>
      <c r="E479" s="33">
        <f>IFERROR(__xludf.DUMMYFUNCTION("""COMPUTED_VALUE"""),1.44E7)</f>
        <v>14400000</v>
      </c>
    </row>
    <row r="480">
      <c r="A480" s="31" t="str">
        <f>IFERROR(__xludf.DUMMYFUNCTION("""COMPUTED_VALUE"""),"Unfriended")</f>
        <v>Unfriended</v>
      </c>
      <c r="B480" s="32">
        <f>IFERROR(__xludf.DUMMYFUNCTION("""COMPUTED_VALUE"""),41840.0)</f>
        <v>41840</v>
      </c>
      <c r="C480" s="33" t="str">
        <f>IFERROR(__xludf.DUMMYFUNCTION("""COMPUTED_VALUE"""),"Horror")</f>
        <v>Horror</v>
      </c>
      <c r="D480" s="33">
        <f>IFERROR(__xludf.DUMMYFUNCTION("""COMPUTED_VALUE"""),1000000.0)</f>
        <v>1000000</v>
      </c>
      <c r="E480" s="33">
        <f>IFERROR(__xludf.DUMMYFUNCTION("""COMPUTED_VALUE"""),6.409999999999999E7)</f>
        <v>64100000</v>
      </c>
    </row>
    <row r="481">
      <c r="A481" s="31" t="str">
        <f>IFERROR(__xludf.DUMMYFUNCTION("""COMPUTED_VALUE"""),"Vacation")</f>
        <v>Vacation</v>
      </c>
      <c r="B481" s="32">
        <f>IFERROR(__xludf.DUMMYFUNCTION("""COMPUTED_VALUE"""),42214.0)</f>
        <v>42214</v>
      </c>
      <c r="C481" s="33" t="str">
        <f>IFERROR(__xludf.DUMMYFUNCTION("""COMPUTED_VALUE"""),"Adventure")</f>
        <v>Adventure</v>
      </c>
      <c r="D481" s="33">
        <f>IFERROR(__xludf.DUMMYFUNCTION("""COMPUTED_VALUE"""),3.1E7)</f>
        <v>31000000</v>
      </c>
      <c r="E481" s="33">
        <f>IFERROR(__xludf.DUMMYFUNCTION("""COMPUTED_VALUE"""),1.049E8)</f>
        <v>104900000</v>
      </c>
    </row>
    <row r="482">
      <c r="A482" s="31" t="str">
        <f>IFERROR(__xludf.DUMMYFUNCTION("""COMPUTED_VALUE"""),"Vampire Academy")</f>
        <v>Vampire Academy</v>
      </c>
      <c r="B482" s="32">
        <f>IFERROR(__xludf.DUMMYFUNCTION("""COMPUTED_VALUE"""),41677.0)</f>
        <v>41677</v>
      </c>
      <c r="C482" s="33" t="str">
        <f>IFERROR(__xludf.DUMMYFUNCTION("""COMPUTED_VALUE"""),"Action")</f>
        <v>Action</v>
      </c>
      <c r="D482" s="33">
        <f>IFERROR(__xludf.DUMMYFUNCTION("""COMPUTED_VALUE"""),3.0E7)</f>
        <v>30000000</v>
      </c>
      <c r="E482" s="33">
        <f>IFERROR(__xludf.DUMMYFUNCTION("""COMPUTED_VALUE"""),1.54E7)</f>
        <v>15400000</v>
      </c>
    </row>
    <row r="483">
      <c r="A483" s="31" t="str">
        <f>IFERROR(__xludf.DUMMYFUNCTION("""COMPUTED_VALUE"""),"Veronica Mars")</f>
        <v>Veronica Mars</v>
      </c>
      <c r="B483" s="32">
        <f>IFERROR(__xludf.DUMMYFUNCTION("""COMPUTED_VALUE"""),41712.0)</f>
        <v>41712</v>
      </c>
      <c r="C483" s="33" t="str">
        <f>IFERROR(__xludf.DUMMYFUNCTION("""COMPUTED_VALUE"""),"Mystery")</f>
        <v>Mystery</v>
      </c>
      <c r="D483" s="33">
        <f>IFERROR(__xludf.DUMMYFUNCTION("""COMPUTED_VALUE"""),6000000.0)</f>
        <v>6000000</v>
      </c>
      <c r="E483" s="33">
        <f>IFERROR(__xludf.DUMMYFUNCTION("""COMPUTED_VALUE"""),3500000.0)</f>
        <v>3500000</v>
      </c>
    </row>
    <row r="484">
      <c r="A484" s="31" t="str">
        <f>IFERROR(__xludf.DUMMYFUNCTION("""COMPUTED_VALUE"""),"Victor Frankenstein")</f>
        <v>Victor Frankenstein</v>
      </c>
      <c r="B484" s="32">
        <f>IFERROR(__xludf.DUMMYFUNCTION("""COMPUTED_VALUE"""),42333.0)</f>
        <v>42333</v>
      </c>
      <c r="C484" s="33" t="str">
        <f>IFERROR(__xludf.DUMMYFUNCTION("""COMPUTED_VALUE"""),"Horror")</f>
        <v>Horror</v>
      </c>
      <c r="D484" s="33">
        <f>IFERROR(__xludf.DUMMYFUNCTION("""COMPUTED_VALUE"""),4.0E7)</f>
        <v>40000000</v>
      </c>
      <c r="E484" s="33">
        <f>IFERROR(__xludf.DUMMYFUNCTION("""COMPUTED_VALUE"""),3.42E7)</f>
        <v>34200000</v>
      </c>
    </row>
    <row r="485">
      <c r="A485" s="31" t="str">
        <f>IFERROR(__xludf.DUMMYFUNCTION("""COMPUTED_VALUE"""),"Wanderlust")</f>
        <v>Wanderlust</v>
      </c>
      <c r="B485" s="32">
        <f>IFERROR(__xludf.DUMMYFUNCTION("""COMPUTED_VALUE"""),40963.0)</f>
        <v>40963</v>
      </c>
      <c r="C485" s="33" t="str">
        <f>IFERROR(__xludf.DUMMYFUNCTION("""COMPUTED_VALUE"""),"Comedy")</f>
        <v>Comedy</v>
      </c>
      <c r="D485" s="33">
        <f>IFERROR(__xludf.DUMMYFUNCTION("""COMPUTED_VALUE"""),3.5E7)</f>
        <v>35000000</v>
      </c>
      <c r="E485" s="33">
        <f>IFERROR(__xludf.DUMMYFUNCTION("""COMPUTED_VALUE"""),2.42E7)</f>
        <v>24200000</v>
      </c>
    </row>
    <row r="486">
      <c r="A486" s="31" t="str">
        <f>IFERROR(__xludf.DUMMYFUNCTION("""COMPUTED_VALUE"""),"War Dogs")</f>
        <v>War Dogs</v>
      </c>
      <c r="B486" s="32">
        <f>IFERROR(__xludf.DUMMYFUNCTION("""COMPUTED_VALUE"""),42601.0)</f>
        <v>42601</v>
      </c>
      <c r="C486" s="33" t="str">
        <f>IFERROR(__xludf.DUMMYFUNCTION("""COMPUTED_VALUE"""),"Crime")</f>
        <v>Crime</v>
      </c>
      <c r="D486" s="33">
        <f>IFERROR(__xludf.DUMMYFUNCTION("""COMPUTED_VALUE"""),4.0E7)</f>
        <v>40000000</v>
      </c>
      <c r="E486" s="33">
        <f>IFERROR(__xludf.DUMMYFUNCTION("""COMPUTED_VALUE"""),4.27E7)</f>
        <v>42700000</v>
      </c>
    </row>
    <row r="487">
      <c r="A487" s="31" t="str">
        <f>IFERROR(__xludf.DUMMYFUNCTION("""COMPUTED_VALUE"""),"War Room")</f>
        <v>War Room</v>
      </c>
      <c r="B487" s="32">
        <f>IFERROR(__xludf.DUMMYFUNCTION("""COMPUTED_VALUE"""),42244.0)</f>
        <v>42244</v>
      </c>
      <c r="C487" s="33" t="str">
        <f>IFERROR(__xludf.DUMMYFUNCTION("""COMPUTED_VALUE"""),"Drama")</f>
        <v>Drama</v>
      </c>
      <c r="D487" s="33">
        <f>IFERROR(__xludf.DUMMYFUNCTION("""COMPUTED_VALUE"""),3000000.0)</f>
        <v>3000000</v>
      </c>
      <c r="E487" s="33">
        <f>IFERROR(__xludf.DUMMYFUNCTION("""COMPUTED_VALUE"""),7.37E7)</f>
        <v>73700000</v>
      </c>
    </row>
    <row r="488">
      <c r="A488" s="31" t="str">
        <f>IFERROR(__xludf.DUMMYFUNCTION("""COMPUTED_VALUE"""),"Warcraft")</f>
        <v>Warcraft</v>
      </c>
      <c r="B488" s="32">
        <f>IFERROR(__xludf.DUMMYFUNCTION("""COMPUTED_VALUE"""),42531.0)</f>
        <v>42531</v>
      </c>
      <c r="C488" s="33" t="str">
        <f>IFERROR(__xludf.DUMMYFUNCTION("""COMPUTED_VALUE"""),"Action")</f>
        <v>Action</v>
      </c>
      <c r="D488" s="33">
        <f>IFERROR(__xludf.DUMMYFUNCTION("""COMPUTED_VALUE"""),1.6E8)</f>
        <v>160000000</v>
      </c>
      <c r="E488" s="33">
        <f>IFERROR(__xludf.DUMMYFUNCTION("""COMPUTED_VALUE"""),4.335E8)</f>
        <v>433500000</v>
      </c>
    </row>
    <row r="489">
      <c r="A489" s="31" t="str">
        <f>IFERROR(__xludf.DUMMYFUNCTION("""COMPUTED_VALUE"""),"Warm Bodies")</f>
        <v>Warm Bodies</v>
      </c>
      <c r="B489" s="32">
        <f>IFERROR(__xludf.DUMMYFUNCTION("""COMPUTED_VALUE"""),41306.0)</f>
        <v>41306</v>
      </c>
      <c r="C489" s="33" t="str">
        <f>IFERROR(__xludf.DUMMYFUNCTION("""COMPUTED_VALUE"""),"Comedy")</f>
        <v>Comedy</v>
      </c>
      <c r="D489" s="33">
        <f>IFERROR(__xludf.DUMMYFUNCTION("""COMPUTED_VALUE"""),3.5E7)</f>
        <v>35000000</v>
      </c>
      <c r="E489" s="33">
        <f>IFERROR(__xludf.DUMMYFUNCTION("""COMPUTED_VALUE"""),1.17E8)</f>
        <v>117000000</v>
      </c>
    </row>
    <row r="490">
      <c r="A490" s="31" t="str">
        <f>IFERROR(__xludf.DUMMYFUNCTION("""COMPUTED_VALUE"""),"What Maisie Knew")</f>
        <v>What Maisie Knew</v>
      </c>
      <c r="B490" s="32">
        <f>IFERROR(__xludf.DUMMYFUNCTION("""COMPUTED_VALUE"""),41397.0)</f>
        <v>41397</v>
      </c>
      <c r="C490" s="33" t="str">
        <f>IFERROR(__xludf.DUMMYFUNCTION("""COMPUTED_VALUE"""),"Drama")</f>
        <v>Drama</v>
      </c>
      <c r="D490" s="33">
        <f>IFERROR(__xludf.DUMMYFUNCTION("""COMPUTED_VALUE"""),5000000.0)</f>
        <v>5000000</v>
      </c>
      <c r="E490" s="33">
        <f>IFERROR(__xludf.DUMMYFUNCTION("""COMPUTED_VALUE"""),2700000.0)</f>
        <v>2700000</v>
      </c>
    </row>
    <row r="491">
      <c r="A491" s="31" t="str">
        <f>IFERROR(__xludf.DUMMYFUNCTION("""COMPUTED_VALUE"""),"What to Expect When You're Expecting")</f>
        <v>What to Expect When You're Expecting</v>
      </c>
      <c r="B491" s="32">
        <f>IFERROR(__xludf.DUMMYFUNCTION("""COMPUTED_VALUE"""),41047.0)</f>
        <v>41047</v>
      </c>
      <c r="C491" s="33" t="str">
        <f>IFERROR(__xludf.DUMMYFUNCTION("""COMPUTED_VALUE"""),"Comedy")</f>
        <v>Comedy</v>
      </c>
      <c r="D491" s="33">
        <f>IFERROR(__xludf.DUMMYFUNCTION("""COMPUTED_VALUE"""),4.0E7)</f>
        <v>40000000</v>
      </c>
      <c r="E491" s="33">
        <f>IFERROR(__xludf.DUMMYFUNCTION("""COMPUTED_VALUE"""),8.44E7)</f>
        <v>84400000</v>
      </c>
    </row>
    <row r="492">
      <c r="A492" s="31" t="str">
        <f>IFERROR(__xludf.DUMMYFUNCTION("""COMPUTED_VALUE"""),"When the Game Stands Tall")</f>
        <v>When the Game Stands Tall</v>
      </c>
      <c r="B492" s="32">
        <f>IFERROR(__xludf.DUMMYFUNCTION("""COMPUTED_VALUE"""),41855.0)</f>
        <v>41855</v>
      </c>
      <c r="C492" s="33" t="str">
        <f>IFERROR(__xludf.DUMMYFUNCTION("""COMPUTED_VALUE"""),"Religious")</f>
        <v>Religious</v>
      </c>
      <c r="D492" s="33">
        <f>IFERROR(__xludf.DUMMYFUNCTION("""COMPUTED_VALUE"""),1.5E7)</f>
        <v>15000000</v>
      </c>
      <c r="E492" s="33">
        <f>IFERROR(__xludf.DUMMYFUNCTION("""COMPUTED_VALUE"""),3.01E7)</f>
        <v>30100000</v>
      </c>
    </row>
    <row r="493">
      <c r="A493" s="31" t="str">
        <f>IFERROR(__xludf.DUMMYFUNCTION("""COMPUTED_VALUE"""),"Whiplash")</f>
        <v>Whiplash</v>
      </c>
      <c r="B493" s="32">
        <f>IFERROR(__xludf.DUMMYFUNCTION("""COMPUTED_VALUE"""),41655.0)</f>
        <v>41655</v>
      </c>
      <c r="C493" s="33" t="str">
        <f>IFERROR(__xludf.DUMMYFUNCTION("""COMPUTED_VALUE"""),"Drama")</f>
        <v>Drama</v>
      </c>
      <c r="D493" s="33">
        <f>IFERROR(__xludf.DUMMYFUNCTION("""COMPUTED_VALUE"""),3300000.0)</f>
        <v>3300000</v>
      </c>
      <c r="E493" s="33">
        <f>IFERROR(__xludf.DUMMYFUNCTION("""COMPUTED_VALUE"""),4.9E7)</f>
        <v>49000000</v>
      </c>
    </row>
    <row r="494">
      <c r="A494" s="31" t="str">
        <f>IFERROR(__xludf.DUMMYFUNCTION("""COMPUTED_VALUE"""),"Whiskey Tango Foxtrot")</f>
        <v>Whiskey Tango Foxtrot</v>
      </c>
      <c r="B494" s="32">
        <f>IFERROR(__xludf.DUMMYFUNCTION("""COMPUTED_VALUE"""),42433.0)</f>
        <v>42433</v>
      </c>
      <c r="C494" s="33" t="str">
        <f>IFERROR(__xludf.DUMMYFUNCTION("""COMPUTED_VALUE"""),"Drama")</f>
        <v>Drama</v>
      </c>
      <c r="D494" s="33">
        <f>IFERROR(__xludf.DUMMYFUNCTION("""COMPUTED_VALUE"""),3.5E7)</f>
        <v>35000000</v>
      </c>
      <c r="E494" s="33">
        <f>IFERROR(__xludf.DUMMYFUNCTION("""COMPUTED_VALUE"""),2.49E7)</f>
        <v>24900000</v>
      </c>
    </row>
    <row r="495">
      <c r="A495" s="31" t="str">
        <f>IFERROR(__xludf.DUMMYFUNCTION("""COMPUTED_VALUE"""),"White House Down")</f>
        <v>White House Down</v>
      </c>
      <c r="B495" s="32">
        <f>IFERROR(__xludf.DUMMYFUNCTION("""COMPUTED_VALUE"""),41453.0)</f>
        <v>41453</v>
      </c>
      <c r="C495" s="33" t="str">
        <f>IFERROR(__xludf.DUMMYFUNCTION("""COMPUTED_VALUE"""),"Action")</f>
        <v>Action</v>
      </c>
      <c r="D495" s="33">
        <f>IFERROR(__xludf.DUMMYFUNCTION("""COMPUTED_VALUE"""),1.5E8)</f>
        <v>150000000</v>
      </c>
      <c r="E495" s="33">
        <f>IFERROR(__xludf.DUMMYFUNCTION("""COMPUTED_VALUE"""),2.05E8)</f>
        <v>205000000</v>
      </c>
    </row>
    <row r="496">
      <c r="A496" s="31" t="str">
        <f>IFERROR(__xludf.DUMMYFUNCTION("""COMPUTED_VALUE"""),"Wild")</f>
        <v>Wild</v>
      </c>
      <c r="B496" s="32">
        <f>IFERROR(__xludf.DUMMYFUNCTION("""COMPUTED_VALUE"""),41880.0)</f>
        <v>41880</v>
      </c>
      <c r="C496" s="33" t="str">
        <f>IFERROR(__xludf.DUMMYFUNCTION("""COMPUTED_VALUE"""),"Drama")</f>
        <v>Drama</v>
      </c>
      <c r="D496" s="33">
        <f>IFERROR(__xludf.DUMMYFUNCTION("""COMPUTED_VALUE"""),1.5E7)</f>
        <v>15000000</v>
      </c>
      <c r="E496" s="33">
        <f>IFERROR(__xludf.DUMMYFUNCTION("""COMPUTED_VALUE"""),5.25E7)</f>
        <v>52500000</v>
      </c>
    </row>
    <row r="497">
      <c r="A497" s="31" t="str">
        <f>IFERROR(__xludf.DUMMYFUNCTION("""COMPUTED_VALUE"""),"Winter's Tale")</f>
        <v>Winter's Tale</v>
      </c>
      <c r="B497" s="32">
        <f>IFERROR(__xludf.DUMMYFUNCTION("""COMPUTED_VALUE"""),41683.0)</f>
        <v>41683</v>
      </c>
      <c r="C497" s="33" t="str">
        <f>IFERROR(__xludf.DUMMYFUNCTION("""COMPUTED_VALUE"""),"Drama")</f>
        <v>Drama</v>
      </c>
      <c r="D497" s="33">
        <f>IFERROR(__xludf.DUMMYFUNCTION("""COMPUTED_VALUE"""),6.0E7)</f>
        <v>60000000</v>
      </c>
      <c r="E497" s="33">
        <f>IFERROR(__xludf.DUMMYFUNCTION("""COMPUTED_VALUE"""),3.11E7)</f>
        <v>31100000</v>
      </c>
    </row>
    <row r="498">
      <c r="A498" s="31" t="str">
        <f>IFERROR(__xludf.DUMMYFUNCTION("""COMPUTED_VALUE"""),"Wish I Was Here")</f>
        <v>Wish I Was Here</v>
      </c>
      <c r="B498" s="32">
        <f>IFERROR(__xludf.DUMMYFUNCTION("""COMPUTED_VALUE"""),41657.0)</f>
        <v>41657</v>
      </c>
      <c r="C498" s="33" t="str">
        <f>IFERROR(__xludf.DUMMYFUNCTION("""COMPUTED_VALUE"""),"Drama")</f>
        <v>Drama</v>
      </c>
      <c r="D498" s="33">
        <f>IFERROR(__xludf.DUMMYFUNCTION("""COMPUTED_VALUE"""),6000000.0)</f>
        <v>6000000</v>
      </c>
      <c r="E498" s="33">
        <f>IFERROR(__xludf.DUMMYFUNCTION("""COMPUTED_VALUE"""),5500000.0)</f>
        <v>5500000</v>
      </c>
    </row>
    <row r="499">
      <c r="A499" s="31" t="str">
        <f>IFERROR(__xludf.DUMMYFUNCTION("""COMPUTED_VALUE"""),"Woman in Gold")</f>
        <v>Woman in Gold</v>
      </c>
      <c r="B499" s="32">
        <f>IFERROR(__xludf.DUMMYFUNCTION("""COMPUTED_VALUE"""),42095.0)</f>
        <v>42095</v>
      </c>
      <c r="C499" s="33" t="str">
        <f>IFERROR(__xludf.DUMMYFUNCTION("""COMPUTED_VALUE"""),"Drama")</f>
        <v>Drama</v>
      </c>
      <c r="D499" s="33">
        <f>IFERROR(__xludf.DUMMYFUNCTION("""COMPUTED_VALUE"""),1.1E7)</f>
        <v>11000000</v>
      </c>
      <c r="E499" s="33">
        <f>IFERROR(__xludf.DUMMYFUNCTION("""COMPUTED_VALUE"""),6.16E7)</f>
        <v>61600000</v>
      </c>
    </row>
    <row r="500">
      <c r="A500" s="31" t="str">
        <f>IFERROR(__xludf.DUMMYFUNCTION("""COMPUTED_VALUE"""),"Won't Back Down")</f>
        <v>Won't Back Down</v>
      </c>
      <c r="B500" s="32">
        <f>IFERROR(__xludf.DUMMYFUNCTION("""COMPUTED_VALUE"""),41180.0)</f>
        <v>41180</v>
      </c>
      <c r="C500" s="33" t="str">
        <f>IFERROR(__xludf.DUMMYFUNCTION("""COMPUTED_VALUE"""),"Drama")</f>
        <v>Drama</v>
      </c>
      <c r="D500" s="33">
        <f>IFERROR(__xludf.DUMMYFUNCTION("""COMPUTED_VALUE"""),1.9E7)</f>
        <v>19000000</v>
      </c>
      <c r="E500" s="33">
        <f>IFERROR(__xludf.DUMMYFUNCTION("""COMPUTED_VALUE"""),5400000.0)</f>
        <v>5400000</v>
      </c>
    </row>
    <row r="501">
      <c r="A501" s="31" t="str">
        <f>IFERROR(__xludf.DUMMYFUNCTION("""COMPUTED_VALUE"""),"Woodlawn")</f>
        <v>Woodlawn</v>
      </c>
      <c r="B501" s="32">
        <f>IFERROR(__xludf.DUMMYFUNCTION("""COMPUTED_VALUE"""),42293.0)</f>
        <v>42293</v>
      </c>
      <c r="C501" s="33" t="str">
        <f>IFERROR(__xludf.DUMMYFUNCTION("""COMPUTED_VALUE"""),"Drama")</f>
        <v>Drama</v>
      </c>
      <c r="D501" s="33">
        <f>IFERROR(__xludf.DUMMYFUNCTION("""COMPUTED_VALUE"""),1.3E7)</f>
        <v>13000000</v>
      </c>
      <c r="E501" s="33">
        <f>IFERROR(__xludf.DUMMYFUNCTION("""COMPUTED_VALUE"""),1.44E7)</f>
        <v>14400000</v>
      </c>
    </row>
    <row r="502">
      <c r="A502" s="31" t="str">
        <f>IFERROR(__xludf.DUMMYFUNCTION("""COMPUTED_VALUE"""),"World War Z")</f>
        <v>World War Z</v>
      </c>
      <c r="B502" s="32">
        <f>IFERROR(__xludf.DUMMYFUNCTION("""COMPUTED_VALUE"""),41446.0)</f>
        <v>41446</v>
      </c>
      <c r="C502" s="33" t="str">
        <f>IFERROR(__xludf.DUMMYFUNCTION("""COMPUTED_VALUE"""),"Action")</f>
        <v>Action</v>
      </c>
      <c r="D502" s="33">
        <f>IFERROR(__xludf.DUMMYFUNCTION("""COMPUTED_VALUE"""),1.9E8)</f>
        <v>190000000</v>
      </c>
      <c r="E502" s="33">
        <f>IFERROR(__xludf.DUMMYFUNCTION("""COMPUTED_VALUE"""),5.4E8)</f>
        <v>540000000</v>
      </c>
    </row>
    <row r="503">
      <c r="A503" s="31" t="str">
        <f>IFERROR(__xludf.DUMMYFUNCTION("""COMPUTED_VALUE"""),"Wrath of the Titans")</f>
        <v>Wrath of the Titans</v>
      </c>
      <c r="B503" s="32">
        <f>IFERROR(__xludf.DUMMYFUNCTION("""COMPUTED_VALUE"""),40998.0)</f>
        <v>40998</v>
      </c>
      <c r="C503" s="33" t="str">
        <f>IFERROR(__xludf.DUMMYFUNCTION("""COMPUTED_VALUE"""),"Action")</f>
        <v>Action</v>
      </c>
      <c r="D503" s="33">
        <f>IFERROR(__xludf.DUMMYFUNCTION("""COMPUTED_VALUE"""),1.5E8)</f>
        <v>150000000</v>
      </c>
      <c r="E503" s="33">
        <f>IFERROR(__xludf.DUMMYFUNCTION("""COMPUTED_VALUE"""),3.053E8)</f>
        <v>305300000</v>
      </c>
    </row>
    <row r="504">
      <c r="A504" s="31" t="str">
        <f>IFERROR(__xludf.DUMMYFUNCTION("""COMPUTED_VALUE"""),"X-Men: Apocalypse")</f>
        <v>X-Men: Apocalypse</v>
      </c>
      <c r="B504" s="32">
        <f>IFERROR(__xludf.DUMMYFUNCTION("""COMPUTED_VALUE"""),42499.0)</f>
        <v>42499</v>
      </c>
      <c r="C504" s="33" t="str">
        <f>IFERROR(__xludf.DUMMYFUNCTION("""COMPUTED_VALUE"""),"Action")</f>
        <v>Action</v>
      </c>
      <c r="D504" s="33">
        <f>IFERROR(__xludf.DUMMYFUNCTION("""COMPUTED_VALUE"""),1.78E8)</f>
        <v>178000000</v>
      </c>
      <c r="E504" s="33">
        <f>IFERROR(__xludf.DUMMYFUNCTION("""COMPUTED_VALUE"""),5.446E8)</f>
        <v>544600000</v>
      </c>
    </row>
    <row r="505">
      <c r="A505" s="31" t="str">
        <f>IFERROR(__xludf.DUMMYFUNCTION("""COMPUTED_VALUE"""),"X-Men: Days of Future Past")</f>
        <v>X-Men: Days of Future Past</v>
      </c>
      <c r="B505" s="32">
        <f>IFERROR(__xludf.DUMMYFUNCTION("""COMPUTED_VALUE"""),41769.0)</f>
        <v>41769</v>
      </c>
      <c r="C505" s="33" t="str">
        <f>IFERROR(__xludf.DUMMYFUNCTION("""COMPUTED_VALUE"""),"Action")</f>
        <v>Action</v>
      </c>
      <c r="D505" s="33">
        <f>IFERROR(__xludf.DUMMYFUNCTION("""COMPUTED_VALUE"""),2.0E8)</f>
        <v>200000000</v>
      </c>
      <c r="E505" s="33">
        <f>IFERROR(__xludf.DUMMYFUNCTION("""COMPUTED_VALUE"""),7.479E8)</f>
        <v>747900000</v>
      </c>
    </row>
    <row r="506">
      <c r="A506" s="31" t="str">
        <f>IFERROR(__xludf.DUMMYFUNCTION("""COMPUTED_VALUE"""),"You're Next")</f>
        <v>You're Next</v>
      </c>
      <c r="B506" s="32">
        <f>IFERROR(__xludf.DUMMYFUNCTION("""COMPUTED_VALUE"""),41509.0)</f>
        <v>41509</v>
      </c>
      <c r="C506" s="33" t="str">
        <f>IFERROR(__xludf.DUMMYFUNCTION("""COMPUTED_VALUE"""),"Horror")</f>
        <v>Horror</v>
      </c>
      <c r="D506" s="33">
        <f>IFERROR(__xludf.DUMMYFUNCTION("""COMPUTED_VALUE"""),1000000.0)</f>
        <v>1000000</v>
      </c>
      <c r="E506" s="33">
        <f>IFERROR(__xludf.DUMMYFUNCTION("""COMPUTED_VALUE"""),2.68E7)</f>
        <v>26800000</v>
      </c>
    </row>
    <row r="507">
      <c r="A507" s="31" t="str">
        <f>IFERROR(__xludf.DUMMYFUNCTION("""COMPUTED_VALUE"""),"Zero Dark Thirty")</f>
        <v>Zero Dark Thirty</v>
      </c>
      <c r="B507" s="32">
        <f>IFERROR(__xludf.DUMMYFUNCTION("""COMPUTED_VALUE"""),41262.0)</f>
        <v>41262</v>
      </c>
      <c r="C507" s="33" t="str">
        <f>IFERROR(__xludf.DUMMYFUNCTION("""COMPUTED_VALUE"""),"Drama")</f>
        <v>Drama</v>
      </c>
      <c r="D507" s="33">
        <f>IFERROR(__xludf.DUMMYFUNCTION("""COMPUTED_VALUE"""),4.0E7)</f>
        <v>40000000</v>
      </c>
      <c r="E507" s="33">
        <f>IFERROR(__xludf.DUMMYFUNCTION("""COMPUTED_VALUE"""),1.3280000000000001E8)</f>
        <v>132800000</v>
      </c>
    </row>
    <row r="508">
      <c r="A508" s="31" t="str">
        <f>IFERROR(__xludf.DUMMYFUNCTION("""COMPUTED_VALUE"""),"Zhong Kui: Snow Girl and the Dark Crystal")</f>
        <v>Zhong Kui: Snow Girl and the Dark Crystal</v>
      </c>
      <c r="B508" s="32">
        <f>IFERROR(__xludf.DUMMYFUNCTION("""COMPUTED_VALUE"""),42054.0)</f>
        <v>42054</v>
      </c>
      <c r="C508" s="33" t="str">
        <f>IFERROR(__xludf.DUMMYFUNCTION("""COMPUTED_VALUE"""),"Romance")</f>
        <v>Romance</v>
      </c>
      <c r="D508" s="33">
        <f>IFERROR(__xludf.DUMMYFUNCTION("""COMPUTED_VALUE"""),3.0E7)</f>
        <v>30000000</v>
      </c>
      <c r="E508" s="33">
        <f>IFERROR(__xludf.DUMMYFUNCTION("""COMPUTED_VALUE"""),6.447E7)</f>
        <v>64470000</v>
      </c>
    </row>
    <row r="509">
      <c r="A509" s="31" t="str">
        <f>IFERROR(__xludf.DUMMYFUNCTION("""COMPUTED_VALUE"""),"Zoolander 2")</f>
        <v>Zoolander 2</v>
      </c>
      <c r="B509" s="32">
        <f>IFERROR(__xludf.DUMMYFUNCTION("""COMPUTED_VALUE"""),42412.0)</f>
        <v>42412</v>
      </c>
      <c r="C509" s="33" t="str">
        <f>IFERROR(__xludf.DUMMYFUNCTION("""COMPUTED_VALUE"""),"Comedy")</f>
        <v>Comedy</v>
      </c>
      <c r="D509" s="33">
        <f>IFERROR(__xludf.DUMMYFUNCTION("""COMPUTED_VALUE"""),5.0E7)</f>
        <v>50000000</v>
      </c>
      <c r="E509" s="33">
        <f>IFERROR(__xludf.DUMMYFUNCTION("""COMPUTED_VALUE"""),5.6E7)</f>
        <v>56000000</v>
      </c>
    </row>
    <row r="510">
      <c r="A510" s="31" t="str">
        <f>IFERROR(__xludf.DUMMYFUNCTION("""COMPUTED_VALUE"""),"Movie Title")</f>
        <v>Movie Title</v>
      </c>
      <c r="B510" s="32"/>
      <c r="C510" s="33" t="str">
        <f>IFERROR(__xludf.DUMMYFUNCTION("""COMPUTED_VALUE"""),"Genre (2)")</f>
        <v>Genre (2)</v>
      </c>
      <c r="D510" s="33"/>
      <c r="E510" s="33"/>
    </row>
    <row r="511">
      <c r="A511" s="31" t="str">
        <f>IFERROR(__xludf.DUMMYFUNCTION("""COMPUTED_VALUE"""),"10 Cloverfield Lane")</f>
        <v>10 Cloverfield Lane</v>
      </c>
      <c r="B511" s="32">
        <f>IFERROR(__xludf.DUMMYFUNCTION("""COMPUTED_VALUE"""),42437.0)</f>
        <v>42437</v>
      </c>
      <c r="C511" s="33" t="str">
        <f>IFERROR(__xludf.DUMMYFUNCTION("""COMPUTED_VALUE"""),"Horror")</f>
        <v>Horror</v>
      </c>
      <c r="D511" s="33">
        <f>IFERROR(__xludf.DUMMYFUNCTION("""COMPUTED_VALUE"""),1.5E7)</f>
        <v>15000000</v>
      </c>
      <c r="E511" s="33">
        <f>IFERROR(__xludf.DUMMYFUNCTION("""COMPUTED_VALUE"""),1.083E8)</f>
        <v>108300000</v>
      </c>
    </row>
    <row r="512">
      <c r="A512" s="31" t="str">
        <f>IFERROR(__xludf.DUMMYFUNCTION("""COMPUTED_VALUE"""),"13 Hours: The Secret Soldiers of Benghazi")</f>
        <v>13 Hours: The Secret Soldiers of Benghazi</v>
      </c>
      <c r="B512" s="32">
        <f>IFERROR(__xludf.DUMMYFUNCTION("""COMPUTED_VALUE"""),42384.0)</f>
        <v>42384</v>
      </c>
      <c r="C512" s="33" t="str">
        <f>IFERROR(__xludf.DUMMYFUNCTION("""COMPUTED_VALUE"""),"Thriller")</f>
        <v>Thriller</v>
      </c>
      <c r="D512" s="33">
        <f>IFERROR(__xludf.DUMMYFUNCTION("""COMPUTED_VALUE"""),4.5E7)</f>
        <v>45000000</v>
      </c>
      <c r="E512" s="33">
        <f>IFERROR(__xludf.DUMMYFUNCTION("""COMPUTED_VALUE"""),6.94E7)</f>
        <v>69400000</v>
      </c>
    </row>
    <row r="513">
      <c r="A513" s="31" t="str">
        <f>IFERROR(__xludf.DUMMYFUNCTION("""COMPUTED_VALUE"""),"2 Guns")</f>
        <v>2 Guns</v>
      </c>
      <c r="B513" s="32">
        <f>IFERROR(__xludf.DUMMYFUNCTION("""COMPUTED_VALUE"""),41488.0)</f>
        <v>41488</v>
      </c>
      <c r="C513" s="33" t="str">
        <f>IFERROR(__xludf.DUMMYFUNCTION("""COMPUTED_VALUE"""),"Crime")</f>
        <v>Crime</v>
      </c>
      <c r="D513" s="33">
        <f>IFERROR(__xludf.DUMMYFUNCTION("""COMPUTED_VALUE"""),6.1E7)</f>
        <v>61000000</v>
      </c>
      <c r="E513" s="33">
        <f>IFERROR(__xludf.DUMMYFUNCTION("""COMPUTED_VALUE"""),1.319E8)</f>
        <v>131900000</v>
      </c>
    </row>
    <row r="514">
      <c r="A514" s="31" t="str">
        <f>IFERROR(__xludf.DUMMYFUNCTION("""COMPUTED_VALUE"""),"21 Jump Street")</f>
        <v>21 Jump Street</v>
      </c>
      <c r="B514" s="32">
        <f>IFERROR(__xludf.DUMMYFUNCTION("""COMPUTED_VALUE"""),40984.0)</f>
        <v>40984</v>
      </c>
      <c r="C514" s="33" t="str">
        <f>IFERROR(__xludf.DUMMYFUNCTION("""COMPUTED_VALUE"""),"Action")</f>
        <v>Action</v>
      </c>
      <c r="D514" s="33">
        <f>IFERROR(__xludf.DUMMYFUNCTION("""COMPUTED_VALUE"""),5.5E7)</f>
        <v>55000000</v>
      </c>
      <c r="E514" s="33">
        <f>IFERROR(__xludf.DUMMYFUNCTION("""COMPUTED_VALUE"""),2.015E8)</f>
        <v>201500000</v>
      </c>
    </row>
    <row r="515">
      <c r="A515" s="31" t="str">
        <f>IFERROR(__xludf.DUMMYFUNCTION("""COMPUTED_VALUE"""),"22 Jump Street")</f>
        <v>22 Jump Street</v>
      </c>
      <c r="B515" s="32">
        <f>IFERROR(__xludf.DUMMYFUNCTION("""COMPUTED_VALUE"""),41794.0)</f>
        <v>41794</v>
      </c>
      <c r="C515" s="33" t="str">
        <f>IFERROR(__xludf.DUMMYFUNCTION("""COMPUTED_VALUE"""),"Comedy")</f>
        <v>Comedy</v>
      </c>
      <c r="D515" s="33">
        <f>IFERROR(__xludf.DUMMYFUNCTION("""COMPUTED_VALUE"""),8.45E7)</f>
        <v>84500000</v>
      </c>
      <c r="E515" s="33">
        <f>IFERROR(__xludf.DUMMYFUNCTION("""COMPUTED_VALUE"""),3.313E8)</f>
        <v>331300000</v>
      </c>
    </row>
    <row r="516">
      <c r="A516" s="31" t="str">
        <f>IFERROR(__xludf.DUMMYFUNCTION("""COMPUTED_VALUE"""),"300: Rise of an Empire")</f>
        <v>300: Rise of an Empire</v>
      </c>
      <c r="B516" s="32">
        <f>IFERROR(__xludf.DUMMYFUNCTION("""COMPUTED_VALUE"""),41702.0)</f>
        <v>41702</v>
      </c>
      <c r="C516" s="33" t="str">
        <f>IFERROR(__xludf.DUMMYFUNCTION("""COMPUTED_VALUE"""),"Fantasy")</f>
        <v>Fantasy</v>
      </c>
      <c r="D516" s="33">
        <f>IFERROR(__xludf.DUMMYFUNCTION("""COMPUTED_VALUE"""),1.1E8)</f>
        <v>110000000</v>
      </c>
      <c r="E516" s="33">
        <f>IFERROR(__xludf.DUMMYFUNCTION("""COMPUTED_VALUE"""),3.376E8)</f>
        <v>337600000</v>
      </c>
    </row>
    <row r="517">
      <c r="A517" s="31" t="str">
        <f>IFERROR(__xludf.DUMMYFUNCTION("""COMPUTED_VALUE"""),"42")</f>
        <v>42</v>
      </c>
      <c r="B517" s="32">
        <f>IFERROR(__xludf.DUMMYFUNCTION("""COMPUTED_VALUE"""),41376.0)</f>
        <v>41376</v>
      </c>
      <c r="C517" s="33" t="str">
        <f>IFERROR(__xludf.DUMMYFUNCTION("""COMPUTED_VALUE"""),"Drama")</f>
        <v>Drama</v>
      </c>
      <c r="D517" s="33">
        <f>IFERROR(__xludf.DUMMYFUNCTION("""COMPUTED_VALUE"""),4.0E7)</f>
        <v>40000000</v>
      </c>
      <c r="E517" s="33">
        <f>IFERROR(__xludf.DUMMYFUNCTION("""COMPUTED_VALUE"""),9.75E7)</f>
        <v>97500000</v>
      </c>
    </row>
    <row r="518">
      <c r="A518" s="31" t="str">
        <f>IFERROR(__xludf.DUMMYFUNCTION("""COMPUTED_VALUE"""),"71")</f>
        <v>71</v>
      </c>
      <c r="B518" s="32">
        <f>IFERROR(__xludf.DUMMYFUNCTION("""COMPUTED_VALUE"""),41677.0)</f>
        <v>41677</v>
      </c>
      <c r="C518" s="33" t="str">
        <f>IFERROR(__xludf.DUMMYFUNCTION("""COMPUTED_VALUE"""),"Drama")</f>
        <v>Drama</v>
      </c>
      <c r="D518" s="33">
        <f>IFERROR(__xludf.DUMMYFUNCTION("""COMPUTED_VALUE"""),8100000.0)</f>
        <v>8100000</v>
      </c>
      <c r="E518" s="33">
        <f>IFERROR(__xludf.DUMMYFUNCTION("""COMPUTED_VALUE"""),2900000.0)</f>
        <v>2900000</v>
      </c>
    </row>
    <row r="519">
      <c r="A519" s="31" t="str">
        <f>IFERROR(__xludf.DUMMYFUNCTION("""COMPUTED_VALUE"""),"A Good Day to Die Hard")</f>
        <v>A Good Day to Die Hard</v>
      </c>
      <c r="B519" s="32">
        <f>IFERROR(__xludf.DUMMYFUNCTION("""COMPUTED_VALUE"""),41319.0)</f>
        <v>41319</v>
      </c>
      <c r="C519" s="33" t="str">
        <f>IFERROR(__xludf.DUMMYFUNCTION("""COMPUTED_VALUE"""),"Thriller")</f>
        <v>Thriller</v>
      </c>
      <c r="D519" s="33">
        <f>IFERROR(__xludf.DUMMYFUNCTION("""COMPUTED_VALUE"""),9.2E7)</f>
        <v>92000000</v>
      </c>
      <c r="E519" s="33">
        <f>IFERROR(__xludf.DUMMYFUNCTION("""COMPUTED_VALUE"""),3.047E8)</f>
        <v>304700000</v>
      </c>
    </row>
    <row r="520">
      <c r="A520" s="31" t="str">
        <f>IFERROR(__xludf.DUMMYFUNCTION("""COMPUTED_VALUE"""),"A Haunted House")</f>
        <v>A Haunted House</v>
      </c>
      <c r="B520" s="32">
        <f>IFERROR(__xludf.DUMMYFUNCTION("""COMPUTED_VALUE"""),41285.0)</f>
        <v>41285</v>
      </c>
      <c r="C520" s="33" t="str">
        <f>IFERROR(__xludf.DUMMYFUNCTION("""COMPUTED_VALUE"""),"Horror")</f>
        <v>Horror</v>
      </c>
      <c r="D520" s="33">
        <f>IFERROR(__xludf.DUMMYFUNCTION("""COMPUTED_VALUE"""),2500000.0)</f>
        <v>2500000</v>
      </c>
      <c r="E520" s="33">
        <f>IFERROR(__xludf.DUMMYFUNCTION("""COMPUTED_VALUE"""),6.01E7)</f>
        <v>60100000</v>
      </c>
    </row>
    <row r="521">
      <c r="A521" s="31" t="str">
        <f>IFERROR(__xludf.DUMMYFUNCTION("""COMPUTED_VALUE"""),"A Most Violent Year")</f>
        <v>A Most Violent Year</v>
      </c>
      <c r="B521" s="32">
        <f>IFERROR(__xludf.DUMMYFUNCTION("""COMPUTED_VALUE"""),41949.0)</f>
        <v>41949</v>
      </c>
      <c r="C521" s="33" t="str">
        <f>IFERROR(__xludf.DUMMYFUNCTION("""COMPUTED_VALUE"""),"Crime")</f>
        <v>Crime</v>
      </c>
      <c r="D521" s="33">
        <f>IFERROR(__xludf.DUMMYFUNCTION("""COMPUTED_VALUE"""),2.0E7)</f>
        <v>20000000</v>
      </c>
      <c r="E521" s="33">
        <f>IFERROR(__xludf.DUMMYFUNCTION("""COMPUTED_VALUE"""),1.2E7)</f>
        <v>12000000</v>
      </c>
    </row>
    <row r="522">
      <c r="A522" s="31" t="str">
        <f>IFERROR(__xludf.DUMMYFUNCTION("""COMPUTED_VALUE"""),"A Walk Among the Tombstones")</f>
        <v>A Walk Among the Tombstones</v>
      </c>
      <c r="B522" s="32">
        <f>IFERROR(__xludf.DUMMYFUNCTION("""COMPUTED_VALUE"""),41901.0)</f>
        <v>41901</v>
      </c>
      <c r="C522" s="33" t="str">
        <f>IFERROR(__xludf.DUMMYFUNCTION("""COMPUTED_VALUE"""),"Drama")</f>
        <v>Drama</v>
      </c>
      <c r="D522" s="33">
        <f>IFERROR(__xludf.DUMMYFUNCTION("""COMPUTED_VALUE"""),2.8E7)</f>
        <v>28000000</v>
      </c>
      <c r="E522" s="33">
        <f>IFERROR(__xludf.DUMMYFUNCTION("""COMPUTED_VALUE"""),5.88E7)</f>
        <v>58800000</v>
      </c>
    </row>
    <row r="523">
      <c r="A523" s="31" t="str">
        <f>IFERROR(__xludf.DUMMYFUNCTION("""COMPUTED_VALUE"""),"A Walk in the Woods")</f>
        <v>A Walk in the Woods</v>
      </c>
      <c r="B523" s="32">
        <f>IFERROR(__xludf.DUMMYFUNCTION("""COMPUTED_VALUE"""),42027.0)</f>
        <v>42027</v>
      </c>
      <c r="C523" s="33" t="str">
        <f>IFERROR(__xludf.DUMMYFUNCTION("""COMPUTED_VALUE"""),"Comedy")</f>
        <v>Comedy</v>
      </c>
      <c r="D523" s="33">
        <f>IFERROR(__xludf.DUMMYFUNCTION("""COMPUTED_VALUE"""),8000000.0)</f>
        <v>8000000</v>
      </c>
      <c r="E523" s="33">
        <f>IFERROR(__xludf.DUMMYFUNCTION("""COMPUTED_VALUE"""),3.6E7)</f>
        <v>36000000</v>
      </c>
    </row>
    <row r="524">
      <c r="A524" s="31" t="str">
        <f>IFERROR(__xludf.DUMMYFUNCTION("""COMPUTED_VALUE"""),"Abraham Lincoln: Vampire Hunter")</f>
        <v>Abraham Lincoln: Vampire Hunter</v>
      </c>
      <c r="B524" s="32">
        <f>IFERROR(__xludf.DUMMYFUNCTION("""COMPUTED_VALUE"""),41082.0)</f>
        <v>41082</v>
      </c>
      <c r="C524" s="33" t="str">
        <f>IFERROR(__xludf.DUMMYFUNCTION("""COMPUTED_VALUE"""),"Action")</f>
        <v>Action</v>
      </c>
      <c r="D524" s="33">
        <f>IFERROR(__xludf.DUMMYFUNCTION("""COMPUTED_VALUE"""),9.95E7)</f>
        <v>99500000</v>
      </c>
      <c r="E524" s="33">
        <f>IFERROR(__xludf.DUMMYFUNCTION("""COMPUTED_VALUE"""),1.164E8)</f>
        <v>116400000</v>
      </c>
    </row>
    <row r="525">
      <c r="A525" s="31" t="str">
        <f>IFERROR(__xludf.DUMMYFUNCTION("""COMPUTED_VALUE"""),"Alex Cross")</f>
        <v>Alex Cross</v>
      </c>
      <c r="B525" s="32">
        <f>IFERROR(__xludf.DUMMYFUNCTION("""COMPUTED_VALUE"""),41201.0)</f>
        <v>41201</v>
      </c>
      <c r="C525" s="33" t="str">
        <f>IFERROR(__xludf.DUMMYFUNCTION("""COMPUTED_VALUE"""),"Action")</f>
        <v>Action</v>
      </c>
      <c r="D525" s="33">
        <f>IFERROR(__xludf.DUMMYFUNCTION("""COMPUTED_VALUE"""),3.5E7)</f>
        <v>35000000</v>
      </c>
      <c r="E525" s="33">
        <f>IFERROR(__xludf.DUMMYFUNCTION("""COMPUTED_VALUE"""),3.46E7)</f>
        <v>34600000</v>
      </c>
    </row>
    <row r="526">
      <c r="A526" s="31" t="str">
        <f>IFERROR(__xludf.DUMMYFUNCTION("""COMPUTED_VALUE"""),"Aloha")</f>
        <v>Aloha</v>
      </c>
      <c r="B526" s="32">
        <f>IFERROR(__xludf.DUMMYFUNCTION("""COMPUTED_VALUE"""),42151.0)</f>
        <v>42151</v>
      </c>
      <c r="C526" s="33" t="str">
        <f>IFERROR(__xludf.DUMMYFUNCTION("""COMPUTED_VALUE"""),"Comedy")</f>
        <v>Comedy</v>
      </c>
      <c r="D526" s="33">
        <f>IFERROR(__xludf.DUMMYFUNCTION("""COMPUTED_VALUE"""),5.2E7)</f>
        <v>52000000</v>
      </c>
      <c r="E526" s="33">
        <f>IFERROR(__xludf.DUMMYFUNCTION("""COMPUTED_VALUE"""),2.63E7)</f>
        <v>26300000</v>
      </c>
    </row>
    <row r="527">
      <c r="A527" s="31" t="str">
        <f>IFERROR(__xludf.DUMMYFUNCTION("""COMPUTED_VALUE"""),"Alvin and the Chipmunks: The Road Chip")</f>
        <v>Alvin and the Chipmunks: The Road Chip</v>
      </c>
      <c r="B527" s="32">
        <f>IFERROR(__xludf.DUMMYFUNCTION("""COMPUTED_VALUE"""),42356.0)</f>
        <v>42356</v>
      </c>
      <c r="C527" s="33" t="str">
        <f>IFERROR(__xludf.DUMMYFUNCTION("""COMPUTED_VALUE"""),"Family")</f>
        <v>Family</v>
      </c>
      <c r="D527" s="33">
        <f>IFERROR(__xludf.DUMMYFUNCTION("""COMPUTED_VALUE"""),9.0E7)</f>
        <v>90000000</v>
      </c>
      <c r="E527" s="33">
        <f>IFERROR(__xludf.DUMMYFUNCTION("""COMPUTED_VALUE"""),2.348E8)</f>
        <v>234800000</v>
      </c>
    </row>
    <row r="528">
      <c r="A528" s="31" t="str">
        <f>IFERROR(__xludf.DUMMYFUNCTION("""COMPUTED_VALUE"""),"American Ultra")</f>
        <v>American Ultra</v>
      </c>
      <c r="B528" s="32">
        <f>IFERROR(__xludf.DUMMYFUNCTION("""COMPUTED_VALUE"""),42237.0)</f>
        <v>42237</v>
      </c>
      <c r="C528" s="33" t="str">
        <f>IFERROR(__xludf.DUMMYFUNCTION("""COMPUTED_VALUE"""),"Comedy")</f>
        <v>Comedy</v>
      </c>
      <c r="D528" s="33">
        <f>IFERROR(__xludf.DUMMYFUNCTION("""COMPUTED_VALUE"""),2.8E7)</f>
        <v>28000000</v>
      </c>
      <c r="E528" s="33">
        <f>IFERROR(__xludf.DUMMYFUNCTION("""COMPUTED_VALUE"""),2.71E7)</f>
        <v>27100000</v>
      </c>
    </row>
    <row r="529">
      <c r="A529" s="31" t="str">
        <f>IFERROR(__xludf.DUMMYFUNCTION("""COMPUTED_VALUE"""),"Amy")</f>
        <v>Amy</v>
      </c>
      <c r="B529" s="32">
        <f>IFERROR(__xludf.DUMMYFUNCTION("""COMPUTED_VALUE"""),42171.0)</f>
        <v>42171</v>
      </c>
      <c r="C529" s="33" t="str">
        <f>IFERROR(__xludf.DUMMYFUNCTION("""COMPUTED_VALUE"""),"Documentary")</f>
        <v>Documentary</v>
      </c>
      <c r="D529" s="33">
        <f>IFERROR(__xludf.DUMMYFUNCTION("""COMPUTED_VALUE"""),3400000.0)</f>
        <v>3400000</v>
      </c>
      <c r="E529" s="33">
        <f>IFERROR(__xludf.DUMMYFUNCTION("""COMPUTED_VALUE"""),2.2E7)</f>
        <v>22000000</v>
      </c>
    </row>
    <row r="530">
      <c r="A530" s="31" t="str">
        <f>IFERROR(__xludf.DUMMYFUNCTION("""COMPUTED_VALUE"""),"Annie")</f>
        <v>Annie</v>
      </c>
      <c r="B530" s="32">
        <f>IFERROR(__xludf.DUMMYFUNCTION("""COMPUTED_VALUE"""),41980.0)</f>
        <v>41980</v>
      </c>
      <c r="C530" s="33" t="str">
        <f>IFERROR(__xludf.DUMMYFUNCTION("""COMPUTED_VALUE"""),"Drama")</f>
        <v>Drama</v>
      </c>
      <c r="D530" s="33">
        <f>IFERROR(__xludf.DUMMYFUNCTION("""COMPUTED_VALUE"""),6.5E7)</f>
        <v>65000000</v>
      </c>
      <c r="E530" s="33">
        <f>IFERROR(__xludf.DUMMYFUNCTION("""COMPUTED_VALUE"""),1.3380000000000001E8)</f>
        <v>133800000</v>
      </c>
    </row>
    <row r="531">
      <c r="A531" s="31" t="str">
        <f>IFERROR(__xludf.DUMMYFUNCTION("""COMPUTED_VALUE"""),"Ant-Man")</f>
        <v>Ant-Man</v>
      </c>
      <c r="B531" s="32">
        <f>IFERROR(__xludf.DUMMYFUNCTION("""COMPUTED_VALUE"""),42184.0)</f>
        <v>42184</v>
      </c>
      <c r="C531" s="33" t="str">
        <f>IFERROR(__xludf.DUMMYFUNCTION("""COMPUTED_VALUE"""),"Adventure")</f>
        <v>Adventure</v>
      </c>
      <c r="D531" s="33">
        <f>IFERROR(__xludf.DUMMYFUNCTION("""COMPUTED_VALUE"""),1.3E8)</f>
        <v>130000000</v>
      </c>
      <c r="E531" s="33">
        <f>IFERROR(__xludf.DUMMYFUNCTION("""COMPUTED_VALUE"""),5.194E8)</f>
        <v>519400000</v>
      </c>
    </row>
    <row r="532">
      <c r="A532" s="31" t="str">
        <f>IFERROR(__xludf.DUMMYFUNCTION("""COMPUTED_VALUE"""),"Battleship")</f>
        <v>Battleship</v>
      </c>
      <c r="B532" s="32">
        <f>IFERROR(__xludf.DUMMYFUNCTION("""COMPUTED_VALUE"""),41047.0)</f>
        <v>41047</v>
      </c>
      <c r="C532" s="33" t="str">
        <f>IFERROR(__xludf.DUMMYFUNCTION("""COMPUTED_VALUE"""),"Sci-Fi")</f>
        <v>Sci-Fi</v>
      </c>
      <c r="D532" s="33">
        <f>IFERROR(__xludf.DUMMYFUNCTION("""COMPUTED_VALUE"""),2.2E8)</f>
        <v>220000000</v>
      </c>
      <c r="E532" s="33">
        <f>IFERROR(__xludf.DUMMYFUNCTION("""COMPUTED_VALUE"""),3.03E8)</f>
        <v>303000000</v>
      </c>
    </row>
    <row r="533">
      <c r="A533" s="31" t="str">
        <f>IFERROR(__xludf.DUMMYFUNCTION("""COMPUTED_VALUE"""),"Beasts of the Southern Wild")</f>
        <v>Beasts of the Southern Wild</v>
      </c>
      <c r="B533" s="32">
        <f>IFERROR(__xludf.DUMMYFUNCTION("""COMPUTED_VALUE"""),41087.0)</f>
        <v>41087</v>
      </c>
      <c r="C533" s="33" t="str">
        <f>IFERROR(__xludf.DUMMYFUNCTION("""COMPUTED_VALUE"""),"Fantasy")</f>
        <v>Fantasy</v>
      </c>
      <c r="D533" s="33">
        <f>IFERROR(__xludf.DUMMYFUNCTION("""COMPUTED_VALUE"""),1800000.0)</f>
        <v>1800000</v>
      </c>
      <c r="E533" s="33">
        <f>IFERROR(__xludf.DUMMYFUNCTION("""COMPUTED_VALUE"""),2.19E7)</f>
        <v>21900000</v>
      </c>
    </row>
    <row r="534">
      <c r="A534" s="31" t="str">
        <f>IFERROR(__xludf.DUMMYFUNCTION("""COMPUTED_VALUE"""),"Beautiful Creatures")</f>
        <v>Beautiful Creatures</v>
      </c>
      <c r="B534" s="32">
        <f>IFERROR(__xludf.DUMMYFUNCTION("""COMPUTED_VALUE"""),41319.0)</f>
        <v>41319</v>
      </c>
      <c r="C534" s="33" t="str">
        <f>IFERROR(__xludf.DUMMYFUNCTION("""COMPUTED_VALUE"""),"Romance")</f>
        <v>Romance</v>
      </c>
      <c r="D534" s="33">
        <f>IFERROR(__xludf.DUMMYFUNCTION("""COMPUTED_VALUE"""),6.0E7)</f>
        <v>60000000</v>
      </c>
      <c r="E534" s="33">
        <f>IFERROR(__xludf.DUMMYFUNCTION("""COMPUTED_VALUE"""),6.01E7)</f>
        <v>60100000</v>
      </c>
    </row>
    <row r="535">
      <c r="A535" s="31" t="str">
        <f>IFERROR(__xludf.DUMMYFUNCTION("""COMPUTED_VALUE"""),"Before I Go to Sleep")</f>
        <v>Before I Go to Sleep</v>
      </c>
      <c r="B535" s="32">
        <f>IFERROR(__xludf.DUMMYFUNCTION("""COMPUTED_VALUE"""),41886.0)</f>
        <v>41886</v>
      </c>
      <c r="C535" s="33" t="str">
        <f>IFERROR(__xludf.DUMMYFUNCTION("""COMPUTED_VALUE"""),"Thriller")</f>
        <v>Thriller</v>
      </c>
      <c r="D535" s="33">
        <f>IFERROR(__xludf.DUMMYFUNCTION("""COMPUTED_VALUE"""),2.2E7)</f>
        <v>22000000</v>
      </c>
      <c r="E535" s="33">
        <f>IFERROR(__xludf.DUMMYFUNCTION("""COMPUTED_VALUE"""),1.51E7)</f>
        <v>15100000</v>
      </c>
    </row>
    <row r="536">
      <c r="A536" s="31" t="str">
        <f>IFERROR(__xludf.DUMMYFUNCTION("""COMPUTED_VALUE"""),"Beyond the Lights")</f>
        <v>Beyond the Lights</v>
      </c>
      <c r="B536" s="32">
        <f>IFERROR(__xludf.DUMMYFUNCTION("""COMPUTED_VALUE"""),41888.0)</f>
        <v>41888</v>
      </c>
      <c r="C536" s="33" t="str">
        <f>IFERROR(__xludf.DUMMYFUNCTION("""COMPUTED_VALUE"""),"Drama")</f>
        <v>Drama</v>
      </c>
      <c r="D536" s="33">
        <f>IFERROR(__xludf.DUMMYFUNCTION("""COMPUTED_VALUE"""),7000000.0)</f>
        <v>7000000</v>
      </c>
      <c r="E536" s="33">
        <f>IFERROR(__xludf.DUMMYFUNCTION("""COMPUTED_VALUE"""),1.46E7)</f>
        <v>14600000</v>
      </c>
    </row>
    <row r="537">
      <c r="A537" s="31" t="str">
        <f>IFERROR(__xludf.DUMMYFUNCTION("""COMPUTED_VALUE"""),"Big Eyes")</f>
        <v>Big Eyes</v>
      </c>
      <c r="B537" s="32">
        <f>IFERROR(__xludf.DUMMYFUNCTION("""COMPUTED_VALUE"""),41998.0)</f>
        <v>41998</v>
      </c>
      <c r="C537" s="33" t="str">
        <f>IFERROR(__xludf.DUMMYFUNCTION("""COMPUTED_VALUE"""),"Drama")</f>
        <v>Drama</v>
      </c>
      <c r="D537" s="33">
        <f>IFERROR(__xludf.DUMMYFUNCTION("""COMPUTED_VALUE"""),1.0E7)</f>
        <v>10000000</v>
      </c>
      <c r="E537" s="33">
        <f>IFERROR(__xludf.DUMMYFUNCTION("""COMPUTED_VALUE"""),2.93E7)</f>
        <v>29300000</v>
      </c>
    </row>
    <row r="538">
      <c r="A538" s="31" t="str">
        <f>IFERROR(__xludf.DUMMYFUNCTION("""COMPUTED_VALUE"""),"Black Mass")</f>
        <v>Black Mass</v>
      </c>
      <c r="B538" s="32">
        <f>IFERROR(__xludf.DUMMYFUNCTION("""COMPUTED_VALUE"""),42251.0)</f>
        <v>42251</v>
      </c>
      <c r="C538" s="33" t="str">
        <f>IFERROR(__xludf.DUMMYFUNCTION("""COMPUTED_VALUE"""),"Drama")</f>
        <v>Drama</v>
      </c>
      <c r="D538" s="33">
        <f>IFERROR(__xludf.DUMMYFUNCTION("""COMPUTED_VALUE"""),5.3E7)</f>
        <v>53000000</v>
      </c>
      <c r="E538" s="33">
        <f>IFERROR(__xludf.DUMMYFUNCTION("""COMPUTED_VALUE"""),9.98E7)</f>
        <v>99800000</v>
      </c>
    </row>
    <row r="539">
      <c r="A539" s="31" t="str">
        <f>IFERROR(__xludf.DUMMYFUNCTION("""COMPUTED_VALUE"""),"Blackhat")</f>
        <v>Blackhat</v>
      </c>
      <c r="B539" s="32">
        <f>IFERROR(__xludf.DUMMYFUNCTION("""COMPUTED_VALUE"""),42012.0)</f>
        <v>42012</v>
      </c>
      <c r="C539" s="33" t="str">
        <f>IFERROR(__xludf.DUMMYFUNCTION("""COMPUTED_VALUE"""),"Thriller")</f>
        <v>Thriller</v>
      </c>
      <c r="D539" s="33">
        <f>IFERROR(__xludf.DUMMYFUNCTION("""COMPUTED_VALUE"""),7.0E7)</f>
        <v>70000000</v>
      </c>
      <c r="E539" s="33">
        <f>IFERROR(__xludf.DUMMYFUNCTION("""COMPUTED_VALUE"""),1.97E7)</f>
        <v>19700000</v>
      </c>
    </row>
    <row r="540">
      <c r="A540" s="31" t="str">
        <f>IFERROR(__xludf.DUMMYFUNCTION("""COMPUTED_VALUE"""),"Blended")</f>
        <v>Blended</v>
      </c>
      <c r="B540" s="32">
        <f>IFERROR(__xludf.DUMMYFUNCTION("""COMPUTED_VALUE"""),41782.0)</f>
        <v>41782</v>
      </c>
      <c r="C540" s="33" t="str">
        <f>IFERROR(__xludf.DUMMYFUNCTION("""COMPUTED_VALUE"""),"Romance")</f>
        <v>Romance</v>
      </c>
      <c r="D540" s="33">
        <f>IFERROR(__xludf.DUMMYFUNCTION("""COMPUTED_VALUE"""),4.0E7)</f>
        <v>40000000</v>
      </c>
      <c r="E540" s="33">
        <f>IFERROR(__xludf.DUMMYFUNCTION("""COMPUTED_VALUE"""),1.28E8)</f>
        <v>128000000</v>
      </c>
    </row>
    <row r="541">
      <c r="A541" s="31" t="str">
        <f>IFERROR(__xludf.DUMMYFUNCTION("""COMPUTED_VALUE"""),"Brooklyn")</f>
        <v>Brooklyn</v>
      </c>
      <c r="B541" s="32">
        <f>IFERROR(__xludf.DUMMYFUNCTION("""COMPUTED_VALUE"""),42030.0)</f>
        <v>42030</v>
      </c>
      <c r="C541" s="33" t="str">
        <f>IFERROR(__xludf.DUMMYFUNCTION("""COMPUTED_VALUE"""),"Romance")</f>
        <v>Romance</v>
      </c>
      <c r="D541" s="33">
        <f>IFERROR(__xludf.DUMMYFUNCTION("""COMPUTED_VALUE"""),1.1E7)</f>
        <v>11000000</v>
      </c>
      <c r="E541" s="33">
        <f>IFERROR(__xludf.DUMMYFUNCTION("""COMPUTED_VALUE"""),6.21E7)</f>
        <v>62100000</v>
      </c>
    </row>
    <row r="542">
      <c r="A542" s="31" t="str">
        <f>IFERROR(__xludf.DUMMYFUNCTION("""COMPUTED_VALUE"""),"Bullet to the Head")</f>
        <v>Bullet to the Head</v>
      </c>
      <c r="B542" s="32">
        <f>IFERROR(__xludf.DUMMYFUNCTION("""COMPUTED_VALUE"""),41306.0)</f>
        <v>41306</v>
      </c>
      <c r="C542" s="33" t="str">
        <f>IFERROR(__xludf.DUMMYFUNCTION("""COMPUTED_VALUE"""),"Action")</f>
        <v>Action</v>
      </c>
      <c r="D542" s="33">
        <f>IFERROR(__xludf.DUMMYFUNCTION("""COMPUTED_VALUE"""),5.5E7)</f>
        <v>55000000</v>
      </c>
      <c r="E542" s="33">
        <f>IFERROR(__xludf.DUMMYFUNCTION("""COMPUTED_VALUE"""),2.19E7)</f>
        <v>21900000</v>
      </c>
    </row>
    <row r="543">
      <c r="A543" s="31" t="str">
        <f>IFERROR(__xludf.DUMMYFUNCTION("""COMPUTED_VALUE"""),"Burnt")</f>
        <v>Burnt</v>
      </c>
      <c r="B543" s="32">
        <f>IFERROR(__xludf.DUMMYFUNCTION("""COMPUTED_VALUE"""),42283.0)</f>
        <v>42283</v>
      </c>
      <c r="C543" s="33" t="str">
        <f>IFERROR(__xludf.DUMMYFUNCTION("""COMPUTED_VALUE"""),"Drama")</f>
        <v>Drama</v>
      </c>
      <c r="D543" s="33">
        <f>IFERROR(__xludf.DUMMYFUNCTION("""COMPUTED_VALUE"""),2.0E7)</f>
        <v>20000000</v>
      </c>
      <c r="E543" s="33">
        <f>IFERROR(__xludf.DUMMYFUNCTION("""COMPUTED_VALUE"""),3.66E7)</f>
        <v>36600000</v>
      </c>
    </row>
    <row r="544">
      <c r="A544" s="31" t="str">
        <f>IFERROR(__xludf.DUMMYFUNCTION("""COMPUTED_VALUE"""),"Captive")</f>
        <v>Captive</v>
      </c>
      <c r="B544" s="32">
        <f>IFERROR(__xludf.DUMMYFUNCTION("""COMPUTED_VALUE"""),42265.0)</f>
        <v>42265</v>
      </c>
      <c r="C544" s="33" t="str">
        <f>IFERROR(__xludf.DUMMYFUNCTION("""COMPUTED_VALUE"""),"Thriller")</f>
        <v>Thriller</v>
      </c>
      <c r="D544" s="33">
        <f>IFERROR(__xludf.DUMMYFUNCTION("""COMPUTED_VALUE"""),2000000.0)</f>
        <v>2000000</v>
      </c>
      <c r="E544" s="33">
        <f>IFERROR(__xludf.DUMMYFUNCTION("""COMPUTED_VALUE"""),2800000.0)</f>
        <v>2800000</v>
      </c>
    </row>
    <row r="545">
      <c r="A545" s="31" t="str">
        <f>IFERROR(__xludf.DUMMYFUNCTION("""COMPUTED_VALUE"""),"Central Intelligence")</f>
        <v>Central Intelligence</v>
      </c>
      <c r="B545" s="32">
        <f>IFERROR(__xludf.DUMMYFUNCTION("""COMPUTED_VALUE"""),42531.0)</f>
        <v>42531</v>
      </c>
      <c r="C545" s="33" t="str">
        <f>IFERROR(__xludf.DUMMYFUNCTION("""COMPUTED_VALUE"""),"Comedy")</f>
        <v>Comedy</v>
      </c>
      <c r="D545" s="33">
        <f>IFERROR(__xludf.DUMMYFUNCTION("""COMPUTED_VALUE"""),5.0E7)</f>
        <v>50000000</v>
      </c>
      <c r="E545" s="33">
        <f>IFERROR(__xludf.DUMMYFUNCTION("""COMPUTED_VALUE"""),2.122E8)</f>
        <v>212200000</v>
      </c>
    </row>
    <row r="546">
      <c r="A546" s="31" t="str">
        <f>IFERROR(__xludf.DUMMYFUNCTION("""COMPUTED_VALUE"""),"Chasing Mavericks")</f>
        <v>Chasing Mavericks</v>
      </c>
      <c r="B546" s="32">
        <f>IFERROR(__xludf.DUMMYFUNCTION("""COMPUTED_VALUE"""),41208.0)</f>
        <v>41208</v>
      </c>
      <c r="C546" s="33" t="str">
        <f>IFERROR(__xludf.DUMMYFUNCTION("""COMPUTED_VALUE"""),"Drama")</f>
        <v>Drama</v>
      </c>
      <c r="D546" s="33">
        <f>IFERROR(__xludf.DUMMYFUNCTION("""COMPUTED_VALUE"""),2.0E7)</f>
        <v>20000000</v>
      </c>
      <c r="E546" s="33">
        <f>IFERROR(__xludf.DUMMYFUNCTION("""COMPUTED_VALUE"""),8300000.000000001)</f>
        <v>8300000</v>
      </c>
    </row>
    <row r="547">
      <c r="A547" s="31" t="str">
        <f>IFERROR(__xludf.DUMMYFUNCTION("""COMPUTED_VALUE"""),"Chernobyl Diaries")</f>
        <v>Chernobyl Diaries</v>
      </c>
      <c r="B547" s="32">
        <f>IFERROR(__xludf.DUMMYFUNCTION("""COMPUTED_VALUE"""),41054.0)</f>
        <v>41054</v>
      </c>
      <c r="C547" s="33" t="str">
        <f>IFERROR(__xludf.DUMMYFUNCTION("""COMPUTED_VALUE"""),"Thriller")</f>
        <v>Thriller</v>
      </c>
      <c r="D547" s="33">
        <f>IFERROR(__xludf.DUMMYFUNCTION("""COMPUTED_VALUE"""),1000000.0)</f>
        <v>1000000</v>
      </c>
      <c r="E547" s="33">
        <f>IFERROR(__xludf.DUMMYFUNCTION("""COMPUTED_VALUE"""),3.72E7)</f>
        <v>37200000</v>
      </c>
    </row>
    <row r="548">
      <c r="A548" s="31" t="str">
        <f>IFERROR(__xludf.DUMMYFUNCTION("""COMPUTED_VALUE"""),"Chronicle")</f>
        <v>Chronicle</v>
      </c>
      <c r="B548" s="32">
        <f>IFERROR(__xludf.DUMMYFUNCTION("""COMPUTED_VALUE"""),40942.0)</f>
        <v>40942</v>
      </c>
      <c r="C548" s="33" t="str">
        <f>IFERROR(__xludf.DUMMYFUNCTION("""COMPUTED_VALUE"""),"Drama")</f>
        <v>Drama</v>
      </c>
      <c r="D548" s="33">
        <f>IFERROR(__xludf.DUMMYFUNCTION("""COMPUTED_VALUE"""),1.2E7)</f>
        <v>12000000</v>
      </c>
      <c r="E548" s="33">
        <f>IFERROR(__xludf.DUMMYFUNCTION("""COMPUTED_VALUE"""),1.266E8)</f>
        <v>126600000</v>
      </c>
    </row>
    <row r="549">
      <c r="A549" s="31" t="str">
        <f>IFERROR(__xludf.DUMMYFUNCTION("""COMPUTED_VALUE"""),"Cloud Atlas")</f>
        <v>Cloud Atlas</v>
      </c>
      <c r="B549" s="32">
        <f>IFERROR(__xludf.DUMMYFUNCTION("""COMPUTED_VALUE"""),41208.0)</f>
        <v>41208</v>
      </c>
      <c r="C549" s="33" t="str">
        <f>IFERROR(__xludf.DUMMYFUNCTION("""COMPUTED_VALUE"""),"Sci-Fi")</f>
        <v>Sci-Fi</v>
      </c>
      <c r="D549" s="33">
        <f>IFERROR(__xludf.DUMMYFUNCTION("""COMPUTED_VALUE"""),1.285E8)</f>
        <v>128500000</v>
      </c>
      <c r="E549" s="33">
        <f>IFERROR(__xludf.DUMMYFUNCTION("""COMPUTED_VALUE"""),1.305E8)</f>
        <v>130500000</v>
      </c>
    </row>
    <row r="550">
      <c r="A550" s="31" t="str">
        <f>IFERROR(__xludf.DUMMYFUNCTION("""COMPUTED_VALUE"""),"Cloudy with a Chance of Meatballs 2")</f>
        <v>Cloudy with a Chance of Meatballs 2</v>
      </c>
      <c r="B550" s="32">
        <f>IFERROR(__xludf.DUMMYFUNCTION("""COMPUTED_VALUE"""),41544.0)</f>
        <v>41544</v>
      </c>
      <c r="C550" s="33" t="str">
        <f>IFERROR(__xludf.DUMMYFUNCTION("""COMPUTED_VALUE"""),"Comedy")</f>
        <v>Comedy</v>
      </c>
      <c r="D550" s="33">
        <f>IFERROR(__xludf.DUMMYFUNCTION("""COMPUTED_VALUE"""),7.8E7)</f>
        <v>78000000</v>
      </c>
      <c r="E550" s="33">
        <f>IFERROR(__xludf.DUMMYFUNCTION("""COMPUTED_VALUE"""),2.743E8)</f>
        <v>274300000</v>
      </c>
    </row>
    <row r="551">
      <c r="A551" s="31" t="str">
        <f>IFERROR(__xludf.DUMMYFUNCTION("""COMPUTED_VALUE"""),"Concussion")</f>
        <v>Concussion</v>
      </c>
      <c r="B551" s="32">
        <f>IFERROR(__xludf.DUMMYFUNCTION("""COMPUTED_VALUE"""),42363.0)</f>
        <v>42363</v>
      </c>
      <c r="C551" s="33" t="str">
        <f>IFERROR(__xludf.DUMMYFUNCTION("""COMPUTED_VALUE"""),"Sports")</f>
        <v>Sports</v>
      </c>
      <c r="D551" s="33">
        <f>IFERROR(__xludf.DUMMYFUNCTION("""COMPUTED_VALUE"""),5.7E7)</f>
        <v>57000000</v>
      </c>
      <c r="E551" s="33">
        <f>IFERROR(__xludf.DUMMYFUNCTION("""COMPUTED_VALUE"""),5.03E7)</f>
        <v>50300000</v>
      </c>
    </row>
    <row r="552">
      <c r="A552" s="31" t="str">
        <f>IFERROR(__xludf.DUMMYFUNCTION("""COMPUTED_VALUE"""),"Criminal")</f>
        <v>Criminal</v>
      </c>
      <c r="B552" s="32">
        <f>IFERROR(__xludf.DUMMYFUNCTION("""COMPUTED_VALUE"""),42475.0)</f>
        <v>42475</v>
      </c>
      <c r="C552" s="33" t="str">
        <f>IFERROR(__xludf.DUMMYFUNCTION("""COMPUTED_VALUE"""),"Thriller")</f>
        <v>Thriller</v>
      </c>
      <c r="D552" s="33">
        <f>IFERROR(__xludf.DUMMYFUNCTION("""COMPUTED_VALUE"""),3.15E7)</f>
        <v>31500000</v>
      </c>
      <c r="E552" s="33">
        <f>IFERROR(__xludf.DUMMYFUNCTION("""COMPUTED_VALUE"""),3.56E7)</f>
        <v>35600000</v>
      </c>
    </row>
    <row r="553">
      <c r="A553" s="31" t="str">
        <f>IFERROR(__xludf.DUMMYFUNCTION("""COMPUTED_VALUE"""),"Crimson Peak")</f>
        <v>Crimson Peak</v>
      </c>
      <c r="B553" s="32">
        <f>IFERROR(__xludf.DUMMYFUNCTION("""COMPUTED_VALUE"""),42293.0)</f>
        <v>42293</v>
      </c>
      <c r="C553" s="33" t="str">
        <f>IFERROR(__xludf.DUMMYFUNCTION("""COMPUTED_VALUE"""),"Romance")</f>
        <v>Romance</v>
      </c>
      <c r="D553" s="33">
        <f>IFERROR(__xludf.DUMMYFUNCTION("""COMPUTED_VALUE"""),5.5E7)</f>
        <v>55000000</v>
      </c>
      <c r="E553" s="33">
        <f>IFERROR(__xludf.DUMMYFUNCTION("""COMPUTED_VALUE"""),7.47E7)</f>
        <v>74700000</v>
      </c>
    </row>
    <row r="554">
      <c r="A554" s="31" t="str">
        <f>IFERROR(__xludf.DUMMYFUNCTION("""COMPUTED_VALUE"""),"Danny Collins")</f>
        <v>Danny Collins</v>
      </c>
      <c r="B554" s="32">
        <f>IFERROR(__xludf.DUMMYFUNCTION("""COMPUTED_VALUE"""),42083.0)</f>
        <v>42083</v>
      </c>
      <c r="C554" s="33" t="str">
        <f>IFERROR(__xludf.DUMMYFUNCTION("""COMPUTED_VALUE"""),"Drama")</f>
        <v>Drama</v>
      </c>
      <c r="D554" s="33">
        <f>IFERROR(__xludf.DUMMYFUNCTION("""COMPUTED_VALUE"""),1.0E7)</f>
        <v>10000000</v>
      </c>
      <c r="E554" s="33">
        <f>IFERROR(__xludf.DUMMYFUNCTION("""COMPUTED_VALUE"""),8199999.999999999)</f>
        <v>8200000</v>
      </c>
    </row>
    <row r="555">
      <c r="A555" s="31" t="str">
        <f>IFERROR(__xludf.DUMMYFUNCTION("""COMPUTED_VALUE"""),"Dark Shadows")</f>
        <v>Dark Shadows</v>
      </c>
      <c r="B555" s="32">
        <f>IFERROR(__xludf.DUMMYFUNCTION("""COMPUTED_VALUE"""),41040.0)</f>
        <v>41040</v>
      </c>
      <c r="C555" s="33" t="str">
        <f>IFERROR(__xludf.DUMMYFUNCTION("""COMPUTED_VALUE"""),"Horror")</f>
        <v>Horror</v>
      </c>
      <c r="D555" s="33">
        <f>IFERROR(__xludf.DUMMYFUNCTION("""COMPUTED_VALUE"""),1.5E8)</f>
        <v>150000000</v>
      </c>
      <c r="E555" s="33">
        <f>IFERROR(__xludf.DUMMYFUNCTION("""COMPUTED_VALUE"""),2.455E8)</f>
        <v>245500000</v>
      </c>
    </row>
    <row r="556">
      <c r="A556" s="31" t="str">
        <f>IFERROR(__xludf.DUMMYFUNCTION("""COMPUTED_VALUE"""),"Dark Skies")</f>
        <v>Dark Skies</v>
      </c>
      <c r="B556" s="32">
        <f>IFERROR(__xludf.DUMMYFUNCTION("""COMPUTED_VALUE"""),41327.0)</f>
        <v>41327</v>
      </c>
      <c r="C556" s="33" t="str">
        <f>IFERROR(__xludf.DUMMYFUNCTION("""COMPUTED_VALUE"""),"Sci-Fi")</f>
        <v>Sci-Fi</v>
      </c>
      <c r="D556" s="33">
        <f>IFERROR(__xludf.DUMMYFUNCTION("""COMPUTED_VALUE"""),3500000.0)</f>
        <v>3500000</v>
      </c>
      <c r="E556" s="33">
        <f>IFERROR(__xludf.DUMMYFUNCTION("""COMPUTED_VALUE"""),2.64E7)</f>
        <v>26400000</v>
      </c>
    </row>
    <row r="557">
      <c r="A557" s="31" t="str">
        <f>IFERROR(__xludf.DUMMYFUNCTION("""COMPUTED_VALUE"""),"Dawn of the Planet of the Apes")</f>
        <v>Dawn of the Planet of the Apes</v>
      </c>
      <c r="B557" s="32">
        <f>IFERROR(__xludf.DUMMYFUNCTION("""COMPUTED_VALUE"""),41816.0)</f>
        <v>41816</v>
      </c>
      <c r="C557" s="33" t="str">
        <f>IFERROR(__xludf.DUMMYFUNCTION("""COMPUTED_VALUE"""),"Adventure")</f>
        <v>Adventure</v>
      </c>
      <c r="D557" s="33">
        <f>IFERROR(__xludf.DUMMYFUNCTION("""COMPUTED_VALUE"""),2.35E8)</f>
        <v>235000000</v>
      </c>
      <c r="E557" s="33">
        <f>IFERROR(__xludf.DUMMYFUNCTION("""COMPUTED_VALUE"""),7.106E8)</f>
        <v>710600000</v>
      </c>
    </row>
    <row r="558">
      <c r="A558" s="31" t="str">
        <f>IFERROR(__xludf.DUMMYFUNCTION("""COMPUTED_VALUE"""),"Declaration of War")</f>
        <v>Declaration of War</v>
      </c>
      <c r="B558" s="32">
        <f>IFERROR(__xludf.DUMMYFUNCTION("""COMPUTED_VALUE"""),40935.0)</f>
        <v>40935</v>
      </c>
      <c r="C558" s="33" t="str">
        <f>IFERROR(__xludf.DUMMYFUNCTION("""COMPUTED_VALUE"""),"Drama")</f>
        <v>Drama</v>
      </c>
      <c r="D558" s="33">
        <f>IFERROR(__xludf.DUMMYFUNCTION("""COMPUTED_VALUE"""),1500000.0)</f>
        <v>1500000</v>
      </c>
      <c r="E558" s="33">
        <f>IFERROR(__xludf.DUMMYFUNCTION("""COMPUTED_VALUE"""),6500000.0)</f>
        <v>6500000</v>
      </c>
    </row>
    <row r="559">
      <c r="A559" s="31" t="str">
        <f>IFERROR(__xludf.DUMMYFUNCTION("""COMPUTED_VALUE"""),"Deliver Us from Evil")</f>
        <v>Deliver Us from Evil</v>
      </c>
      <c r="B559" s="32">
        <f>IFERROR(__xludf.DUMMYFUNCTION("""COMPUTED_VALUE"""),41822.0)</f>
        <v>41822</v>
      </c>
      <c r="C559" s="33" t="str">
        <f>IFERROR(__xludf.DUMMYFUNCTION("""COMPUTED_VALUE"""),"Thriller")</f>
        <v>Thriller</v>
      </c>
      <c r="D559" s="33">
        <f>IFERROR(__xludf.DUMMYFUNCTION("""COMPUTED_VALUE"""),3.0E7)</f>
        <v>30000000</v>
      </c>
      <c r="E559" s="33">
        <f>IFERROR(__xludf.DUMMYFUNCTION("""COMPUTED_VALUE"""),8.79E7)</f>
        <v>87900000</v>
      </c>
    </row>
    <row r="560">
      <c r="A560" s="31" t="str">
        <f>IFERROR(__xludf.DUMMYFUNCTION("""COMPUTED_VALUE"""),"Despicable Me 2")</f>
        <v>Despicable Me 2</v>
      </c>
      <c r="B560" s="32">
        <f>IFERROR(__xludf.DUMMYFUNCTION("""COMPUTED_VALUE"""),41445.0)</f>
        <v>41445</v>
      </c>
      <c r="C560" s="33" t="str">
        <f>IFERROR(__xludf.DUMMYFUNCTION("""COMPUTED_VALUE"""),"Family")</f>
        <v>Family</v>
      </c>
      <c r="D560" s="33">
        <f>IFERROR(__xludf.DUMMYFUNCTION("""COMPUTED_VALUE"""),7.6E7)</f>
        <v>76000000</v>
      </c>
      <c r="E560" s="33">
        <f>IFERROR(__xludf.DUMMYFUNCTION("""COMPUTED_VALUE"""),9.708E8)</f>
        <v>970800000</v>
      </c>
    </row>
    <row r="561">
      <c r="A561" s="31" t="str">
        <f>IFERROR(__xludf.DUMMYFUNCTION("""COMPUTED_VALUE"""),"Devil's Due")</f>
        <v>Devil's Due</v>
      </c>
      <c r="B561" s="32">
        <f>IFERROR(__xludf.DUMMYFUNCTION("""COMPUTED_VALUE"""),41656.0)</f>
        <v>41656</v>
      </c>
      <c r="C561" s="33" t="str">
        <f>IFERROR(__xludf.DUMMYFUNCTION("""COMPUTED_VALUE"""),"Thriller")</f>
        <v>Thriller</v>
      </c>
      <c r="D561" s="33">
        <f>IFERROR(__xludf.DUMMYFUNCTION("""COMPUTED_VALUE"""),7000000.0)</f>
        <v>7000000</v>
      </c>
      <c r="E561" s="33">
        <f>IFERROR(__xludf.DUMMYFUNCTION("""COMPUTED_VALUE"""),3.69E7)</f>
        <v>36900000</v>
      </c>
    </row>
    <row r="562">
      <c r="A562" s="31" t="str">
        <f>IFERROR(__xludf.DUMMYFUNCTION("""COMPUTED_VALUE"""),"Diary of a Wimpy Kid: Dog Days")</f>
        <v>Diary of a Wimpy Kid: Dog Days</v>
      </c>
      <c r="B562" s="32">
        <f>IFERROR(__xludf.DUMMYFUNCTION("""COMPUTED_VALUE"""),41124.0)</f>
        <v>41124</v>
      </c>
      <c r="C562" s="33" t="str">
        <f>IFERROR(__xludf.DUMMYFUNCTION("""COMPUTED_VALUE"""),"Family")</f>
        <v>Family</v>
      </c>
      <c r="D562" s="33">
        <f>IFERROR(__xludf.DUMMYFUNCTION("""COMPUTED_VALUE"""),2.2E7)</f>
        <v>22000000</v>
      </c>
      <c r="E562" s="33">
        <f>IFERROR(__xludf.DUMMYFUNCTION("""COMPUTED_VALUE"""),7.71E7)</f>
        <v>77100000</v>
      </c>
    </row>
    <row r="563">
      <c r="A563" s="31" t="str">
        <f>IFERROR(__xludf.DUMMYFUNCTION("""COMPUTED_VALUE"""),"Divergent")</f>
        <v>Divergent</v>
      </c>
      <c r="B563" s="32">
        <f>IFERROR(__xludf.DUMMYFUNCTION("""COMPUTED_VALUE"""),41716.0)</f>
        <v>41716</v>
      </c>
      <c r="C563" s="33" t="str">
        <f>IFERROR(__xludf.DUMMYFUNCTION("""COMPUTED_VALUE"""),"Action")</f>
        <v>Action</v>
      </c>
      <c r="D563" s="33">
        <f>IFERROR(__xludf.DUMMYFUNCTION("""COMPUTED_VALUE"""),8.5E7)</f>
        <v>85000000</v>
      </c>
      <c r="E563" s="33">
        <f>IFERROR(__xludf.DUMMYFUNCTION("""COMPUTED_VALUE"""),2.889E8)</f>
        <v>288900000</v>
      </c>
    </row>
    <row r="564">
      <c r="A564" s="31" t="str">
        <f>IFERROR(__xludf.DUMMYFUNCTION("""COMPUTED_VALUE"""),"Django Unchained")</f>
        <v>Django Unchained</v>
      </c>
      <c r="B564" s="32">
        <f>IFERROR(__xludf.DUMMYFUNCTION("""COMPUTED_VALUE"""),41268.0)</f>
        <v>41268</v>
      </c>
      <c r="C564" s="33" t="str">
        <f>IFERROR(__xludf.DUMMYFUNCTION("""COMPUTED_VALUE"""),"Drama")</f>
        <v>Drama</v>
      </c>
      <c r="D564" s="33">
        <f>IFERROR(__xludf.DUMMYFUNCTION("""COMPUTED_VALUE"""),1.0E8)</f>
        <v>100000000</v>
      </c>
      <c r="E564" s="33">
        <f>IFERROR(__xludf.DUMMYFUNCTION("""COMPUTED_VALUE"""),4.254E8)</f>
        <v>425400000</v>
      </c>
    </row>
    <row r="565">
      <c r="A565" s="31" t="str">
        <f>IFERROR(__xludf.DUMMYFUNCTION("""COMPUTED_VALUE"""),"Dracula Untold")</f>
        <v>Dracula Untold</v>
      </c>
      <c r="B565" s="32">
        <f>IFERROR(__xludf.DUMMYFUNCTION("""COMPUTED_VALUE"""),41922.0)</f>
        <v>41922</v>
      </c>
      <c r="C565" s="33" t="str">
        <f>IFERROR(__xludf.DUMMYFUNCTION("""COMPUTED_VALUE"""),"Horror")</f>
        <v>Horror</v>
      </c>
      <c r="D565" s="33">
        <f>IFERROR(__xludf.DUMMYFUNCTION("""COMPUTED_VALUE"""),7.0E7)</f>
        <v>70000000</v>
      </c>
      <c r="E565" s="33">
        <f>IFERROR(__xludf.DUMMYFUNCTION("""COMPUTED_VALUE"""),2.171E8)</f>
        <v>217100000</v>
      </c>
    </row>
    <row r="566">
      <c r="A566" s="31" t="str">
        <f>IFERROR(__xludf.DUMMYFUNCTION("""COMPUTED_VALUE"""),"Draft Day")</f>
        <v>Draft Day</v>
      </c>
      <c r="B566" s="32">
        <f>IFERROR(__xludf.DUMMYFUNCTION("""COMPUTED_VALUE"""),41736.0)</f>
        <v>41736</v>
      </c>
      <c r="C566" s="33" t="str">
        <f>IFERROR(__xludf.DUMMYFUNCTION("""COMPUTED_VALUE"""),"Sports")</f>
        <v>Sports</v>
      </c>
      <c r="D566" s="33">
        <f>IFERROR(__xludf.DUMMYFUNCTION("""COMPUTED_VALUE"""),2.5E7)</f>
        <v>25000000</v>
      </c>
      <c r="E566" s="33">
        <f>IFERROR(__xludf.DUMMYFUNCTION("""COMPUTED_VALUE"""),2.95E7)</f>
        <v>29500000</v>
      </c>
    </row>
    <row r="567">
      <c r="A567" s="31" t="str">
        <f>IFERROR(__xludf.DUMMYFUNCTION("""COMPUTED_VALUE"""),"Earth to Echo")</f>
        <v>Earth to Echo</v>
      </c>
      <c r="B567" s="32">
        <f>IFERROR(__xludf.DUMMYFUNCTION("""COMPUTED_VALUE"""),41804.0)</f>
        <v>41804</v>
      </c>
      <c r="C567" s="33" t="str">
        <f>IFERROR(__xludf.DUMMYFUNCTION("""COMPUTED_VALUE"""),"Family")</f>
        <v>Family</v>
      </c>
      <c r="D567" s="33">
        <f>IFERROR(__xludf.DUMMYFUNCTION("""COMPUTED_VALUE"""),1.3E7)</f>
        <v>13000000</v>
      </c>
      <c r="E567" s="33">
        <f>IFERROR(__xludf.DUMMYFUNCTION("""COMPUTED_VALUE"""),4.53E7)</f>
        <v>45300000</v>
      </c>
    </row>
    <row r="568">
      <c r="A568" s="31" t="str">
        <f>IFERROR(__xludf.DUMMYFUNCTION("""COMPUTED_VALUE"""),"Eddie the Eagle")</f>
        <v>Eddie the Eagle</v>
      </c>
      <c r="B568" s="32">
        <f>IFERROR(__xludf.DUMMYFUNCTION("""COMPUTED_VALUE"""),42426.0)</f>
        <v>42426</v>
      </c>
      <c r="C568" s="33" t="str">
        <f>IFERROR(__xludf.DUMMYFUNCTION("""COMPUTED_VALUE"""),"Comedy")</f>
        <v>Comedy</v>
      </c>
      <c r="D568" s="33">
        <f>IFERROR(__xludf.DUMMYFUNCTION("""COMPUTED_VALUE"""),2.3E7)</f>
        <v>23000000</v>
      </c>
      <c r="E568" s="33">
        <f>IFERROR(__xludf.DUMMYFUNCTION("""COMPUTED_VALUE"""),4.62E7)</f>
        <v>46200000</v>
      </c>
    </row>
    <row r="569">
      <c r="A569" s="31" t="str">
        <f>IFERROR(__xludf.DUMMYFUNCTION("""COMPUTED_VALUE"""),"Edge of Tomorrow")</f>
        <v>Edge of Tomorrow</v>
      </c>
      <c r="B569" s="32">
        <f>IFERROR(__xludf.DUMMYFUNCTION("""COMPUTED_VALUE"""),41787.0)</f>
        <v>41787</v>
      </c>
      <c r="C569" s="33" t="str">
        <f>IFERROR(__xludf.DUMMYFUNCTION("""COMPUTED_VALUE"""),"Sci-Fi")</f>
        <v>Sci-Fi</v>
      </c>
      <c r="D569" s="33">
        <f>IFERROR(__xludf.DUMMYFUNCTION("""COMPUTED_VALUE"""),1.78E8)</f>
        <v>178000000</v>
      </c>
      <c r="E569" s="33">
        <f>IFERROR(__xludf.DUMMYFUNCTION("""COMPUTED_VALUE"""),3.705E8)</f>
        <v>370500000</v>
      </c>
    </row>
    <row r="570">
      <c r="A570" s="31" t="str">
        <f>IFERROR(__xludf.DUMMYFUNCTION("""COMPUTED_VALUE"""),"Embrace of the Serpent")</f>
        <v>Embrace of the Serpent</v>
      </c>
      <c r="B570" s="32">
        <f>IFERROR(__xludf.DUMMYFUNCTION("""COMPUTED_VALUE"""),42139.0)</f>
        <v>42139</v>
      </c>
      <c r="C570" s="33" t="str">
        <f>IFERROR(__xludf.DUMMYFUNCTION("""COMPUTED_VALUE"""),"Drama")</f>
        <v>Drama</v>
      </c>
      <c r="D570" s="33">
        <f>IFERROR(__xludf.DUMMYFUNCTION("""COMPUTED_VALUE"""),1400000.0)</f>
        <v>1400000</v>
      </c>
      <c r="E570" s="33">
        <f>IFERROR(__xludf.DUMMYFUNCTION("""COMPUTED_VALUE"""),2800000.0)</f>
        <v>2800000</v>
      </c>
    </row>
    <row r="571">
      <c r="A571" s="31" t="str">
        <f>IFERROR(__xludf.DUMMYFUNCTION("""COMPUTED_VALUE"""),"End of Watch")</f>
        <v>End of Watch</v>
      </c>
      <c r="B571" s="32">
        <f>IFERROR(__xludf.DUMMYFUNCTION("""COMPUTED_VALUE"""),41173.0)</f>
        <v>41173</v>
      </c>
      <c r="C571" s="33" t="str">
        <f>IFERROR(__xludf.DUMMYFUNCTION("""COMPUTED_VALUE"""),"Drama")</f>
        <v>Drama</v>
      </c>
      <c r="D571" s="33">
        <f>IFERROR(__xludf.DUMMYFUNCTION("""COMPUTED_VALUE"""),7000000.0)</f>
        <v>7000000</v>
      </c>
      <c r="E571" s="33">
        <f>IFERROR(__xludf.DUMMYFUNCTION("""COMPUTED_VALUE"""),4.81E7)</f>
        <v>48100000</v>
      </c>
    </row>
    <row r="572">
      <c r="A572" s="31" t="str">
        <f>IFERROR(__xludf.DUMMYFUNCTION("""COMPUTED_VALUE"""),"Epic")</f>
        <v>Epic</v>
      </c>
      <c r="B572" s="32">
        <f>IFERROR(__xludf.DUMMYFUNCTION("""COMPUTED_VALUE"""),41418.0)</f>
        <v>41418</v>
      </c>
      <c r="C572" s="33" t="str">
        <f>IFERROR(__xludf.DUMMYFUNCTION("""COMPUTED_VALUE"""),"Comedy")</f>
        <v>Comedy</v>
      </c>
      <c r="D572" s="33">
        <f>IFERROR(__xludf.DUMMYFUNCTION("""COMPUTED_VALUE"""),9.3E7)</f>
        <v>93000000</v>
      </c>
      <c r="E572" s="33">
        <f>IFERROR(__xludf.DUMMYFUNCTION("""COMPUTED_VALUE"""),2.6839999999999997E8)</f>
        <v>268400000</v>
      </c>
    </row>
    <row r="573">
      <c r="A573" s="31" t="str">
        <f>IFERROR(__xludf.DUMMYFUNCTION("""COMPUTED_VALUE"""),"Escape from Planet Earth")</f>
        <v>Escape from Planet Earth</v>
      </c>
      <c r="B573" s="32">
        <f>IFERROR(__xludf.DUMMYFUNCTION("""COMPUTED_VALUE"""),41320.0)</f>
        <v>41320</v>
      </c>
      <c r="C573" s="33" t="str">
        <f>IFERROR(__xludf.DUMMYFUNCTION("""COMPUTED_VALUE"""),"Family")</f>
        <v>Family</v>
      </c>
      <c r="D573" s="33">
        <f>IFERROR(__xludf.DUMMYFUNCTION("""COMPUTED_VALUE"""),4.0E7)</f>
        <v>40000000</v>
      </c>
      <c r="E573" s="33">
        <f>IFERROR(__xludf.DUMMYFUNCTION("""COMPUTED_VALUE"""),7.46E7)</f>
        <v>74600000</v>
      </c>
    </row>
    <row r="574">
      <c r="A574" s="31" t="str">
        <f>IFERROR(__xludf.DUMMYFUNCTION("""COMPUTED_VALUE"""),"Ex Machina")</f>
        <v>Ex Machina</v>
      </c>
      <c r="B574" s="32">
        <f>IFERROR(__xludf.DUMMYFUNCTION("""COMPUTED_VALUE"""),42025.0)</f>
        <v>42025</v>
      </c>
      <c r="C574" s="33" t="str">
        <f>IFERROR(__xludf.DUMMYFUNCTION("""COMPUTED_VALUE"""),"Thriller")</f>
        <v>Thriller</v>
      </c>
      <c r="D574" s="33">
        <f>IFERROR(__xludf.DUMMYFUNCTION("""COMPUTED_VALUE"""),1.5E7)</f>
        <v>15000000</v>
      </c>
      <c r="E574" s="33">
        <f>IFERROR(__xludf.DUMMYFUNCTION("""COMPUTED_VALUE"""),3.69E7)</f>
        <v>36900000</v>
      </c>
    </row>
    <row r="575">
      <c r="A575" s="31" t="str">
        <f>IFERROR(__xludf.DUMMYFUNCTION("""COMPUTED_VALUE"""),"Fantastic Four")</f>
        <v>Fantastic Four</v>
      </c>
      <c r="B575" s="32">
        <f>IFERROR(__xludf.DUMMYFUNCTION("""COMPUTED_VALUE"""),42220.0)</f>
        <v>42220</v>
      </c>
      <c r="C575" s="33" t="str">
        <f>IFERROR(__xludf.DUMMYFUNCTION("""COMPUTED_VALUE"""),"Adventure")</f>
        <v>Adventure</v>
      </c>
      <c r="D575" s="33">
        <f>IFERROR(__xludf.DUMMYFUNCTION("""COMPUTED_VALUE"""),1.2E8)</f>
        <v>120000000</v>
      </c>
      <c r="E575" s="33">
        <f>IFERROR(__xludf.DUMMYFUNCTION("""COMPUTED_VALUE"""),1.68E8)</f>
        <v>168000000</v>
      </c>
    </row>
    <row r="576">
      <c r="A576" s="31" t="str">
        <f>IFERROR(__xludf.DUMMYFUNCTION("""COMPUTED_VALUE"""),"Florence Foster Jenkins")</f>
        <v>Florence Foster Jenkins</v>
      </c>
      <c r="B576" s="32">
        <f>IFERROR(__xludf.DUMMYFUNCTION("""COMPUTED_VALUE"""),42487.0)</f>
        <v>42487</v>
      </c>
      <c r="C576" s="33" t="str">
        <f>IFERROR(__xludf.DUMMYFUNCTION("""COMPUTED_VALUE"""),"Comedy")</f>
        <v>Comedy</v>
      </c>
      <c r="D576" s="33">
        <f>IFERROR(__xludf.DUMMYFUNCTION("""COMPUTED_VALUE"""),1.9E7)</f>
        <v>19000000</v>
      </c>
      <c r="E576" s="33">
        <f>IFERROR(__xludf.DUMMYFUNCTION("""COMPUTED_VALUE"""),3.17E7)</f>
        <v>31700000</v>
      </c>
    </row>
    <row r="577">
      <c r="A577" s="31" t="str">
        <f>IFERROR(__xludf.DUMMYFUNCTION("""COMPUTED_VALUE"""),"Frances Ha")</f>
        <v>Frances Ha</v>
      </c>
      <c r="B577" s="32">
        <f>IFERROR(__xludf.DUMMYFUNCTION("""COMPUTED_VALUE"""),41411.0)</f>
        <v>41411</v>
      </c>
      <c r="C577" s="33" t="str">
        <f>IFERROR(__xludf.DUMMYFUNCTION("""COMPUTED_VALUE"""),"Comedy")</f>
        <v>Comedy</v>
      </c>
      <c r="D577" s="33">
        <f>IFERROR(__xludf.DUMMYFUNCTION("""COMPUTED_VALUE"""),3000000.0)</f>
        <v>3000000</v>
      </c>
      <c r="E577" s="33">
        <f>IFERROR(__xludf.DUMMYFUNCTION("""COMPUTED_VALUE"""),1.13E7)</f>
        <v>11300000</v>
      </c>
    </row>
    <row r="578">
      <c r="A578" s="31" t="str">
        <f>IFERROR(__xludf.DUMMYFUNCTION("""COMPUTED_VALUE"""),"Free State of Jones")</f>
        <v>Free State of Jones</v>
      </c>
      <c r="B578" s="32">
        <f>IFERROR(__xludf.DUMMYFUNCTION("""COMPUTED_VALUE"""),42537.0)</f>
        <v>42537</v>
      </c>
      <c r="C578" s="33" t="str">
        <f>IFERROR(__xludf.DUMMYFUNCTION("""COMPUTED_VALUE"""),"Thriller")</f>
        <v>Thriller</v>
      </c>
      <c r="D578" s="33">
        <f>IFERROR(__xludf.DUMMYFUNCTION("""COMPUTED_VALUE"""),5.0E7)</f>
        <v>50000000</v>
      </c>
      <c r="E578" s="33">
        <f>IFERROR(__xludf.DUMMYFUNCTION("""COMPUTED_VALUE"""),2.12E7)</f>
        <v>21200000</v>
      </c>
    </row>
    <row r="579">
      <c r="A579" s="31" t="str">
        <f>IFERROR(__xludf.DUMMYFUNCTION("""COMPUTED_VALUE"""),"Friends with Kids")</f>
        <v>Friends with Kids</v>
      </c>
      <c r="B579" s="32">
        <f>IFERROR(__xludf.DUMMYFUNCTION("""COMPUTED_VALUE"""),40977.0)</f>
        <v>40977</v>
      </c>
      <c r="C579" s="33" t="str">
        <f>IFERROR(__xludf.DUMMYFUNCTION("""COMPUTED_VALUE"""),"Romance")</f>
        <v>Romance</v>
      </c>
      <c r="D579" s="33">
        <f>IFERROR(__xludf.DUMMYFUNCTION("""COMPUTED_VALUE"""),1.0E7)</f>
        <v>10000000</v>
      </c>
      <c r="E579" s="33">
        <f>IFERROR(__xludf.DUMMYFUNCTION("""COMPUTED_VALUE"""),1.22E7)</f>
        <v>12200000</v>
      </c>
    </row>
    <row r="580">
      <c r="A580" s="31" t="str">
        <f>IFERROR(__xludf.DUMMYFUNCTION("""COMPUTED_VALUE"""),"Fury")</f>
        <v>Fury</v>
      </c>
      <c r="B580" s="32">
        <f>IFERROR(__xludf.DUMMYFUNCTION("""COMPUTED_VALUE"""),41927.0)</f>
        <v>41927</v>
      </c>
      <c r="C580" s="33" t="str">
        <f>IFERROR(__xludf.DUMMYFUNCTION("""COMPUTED_VALUE"""),"Drama")</f>
        <v>Drama</v>
      </c>
      <c r="D580" s="33">
        <f>IFERROR(__xludf.DUMMYFUNCTION("""COMPUTED_VALUE"""),6.8E7)</f>
        <v>68000000</v>
      </c>
      <c r="E580" s="33">
        <f>IFERROR(__xludf.DUMMYFUNCTION("""COMPUTED_VALUE"""),2.118E8)</f>
        <v>211800000</v>
      </c>
    </row>
    <row r="581">
      <c r="A581" s="31" t="str">
        <f>IFERROR(__xludf.DUMMYFUNCTION("""COMPUTED_VALUE"""),"G.I. Joe: Retaliation")</f>
        <v>G.I. Joe: Retaliation</v>
      </c>
      <c r="B581" s="32">
        <f>IFERROR(__xludf.DUMMYFUNCTION("""COMPUTED_VALUE"""),41360.0)</f>
        <v>41360</v>
      </c>
      <c r="C581" s="33" t="str">
        <f>IFERROR(__xludf.DUMMYFUNCTION("""COMPUTED_VALUE"""),"Adventure")</f>
        <v>Adventure</v>
      </c>
      <c r="D581" s="33">
        <f>IFERROR(__xludf.DUMMYFUNCTION("""COMPUTED_VALUE"""),1.3E8)</f>
        <v>130000000</v>
      </c>
      <c r="E581" s="33">
        <f>IFERROR(__xludf.DUMMYFUNCTION("""COMPUTED_VALUE"""),3.757E8)</f>
        <v>375700000</v>
      </c>
    </row>
    <row r="582">
      <c r="A582" s="31" t="str">
        <f>IFERROR(__xludf.DUMMYFUNCTION("""COMPUTED_VALUE"""),"Gangster Squad")</f>
        <v>Gangster Squad</v>
      </c>
      <c r="B582" s="32">
        <f>IFERROR(__xludf.DUMMYFUNCTION("""COMPUTED_VALUE"""),41285.0)</f>
        <v>41285</v>
      </c>
      <c r="C582" s="33" t="str">
        <f>IFERROR(__xludf.DUMMYFUNCTION("""COMPUTED_VALUE"""),"Crime")</f>
        <v>Crime</v>
      </c>
      <c r="D582" s="33">
        <f>IFERROR(__xludf.DUMMYFUNCTION("""COMPUTED_VALUE"""),7.5E7)</f>
        <v>75000000</v>
      </c>
      <c r="E582" s="33">
        <f>IFERROR(__xludf.DUMMYFUNCTION("""COMPUTED_VALUE"""),1.052E8)</f>
        <v>105200000</v>
      </c>
    </row>
    <row r="583">
      <c r="A583" s="31" t="str">
        <f>IFERROR(__xludf.DUMMYFUNCTION("""COMPUTED_VALUE"""),"Get on Up")</f>
        <v>Get on Up</v>
      </c>
      <c r="B583" s="32">
        <f>IFERROR(__xludf.DUMMYFUNCTION("""COMPUTED_VALUE"""),41852.0)</f>
        <v>41852</v>
      </c>
      <c r="C583" s="33" t="str">
        <f>IFERROR(__xludf.DUMMYFUNCTION("""COMPUTED_VALUE"""),"Biography")</f>
        <v>Biography</v>
      </c>
      <c r="D583" s="33">
        <f>IFERROR(__xludf.DUMMYFUNCTION("""COMPUTED_VALUE"""),3.0E7)</f>
        <v>30000000</v>
      </c>
      <c r="E583" s="33">
        <f>IFERROR(__xludf.DUMMYFUNCTION("""COMPUTED_VALUE"""),3.34E7)</f>
        <v>33400000</v>
      </c>
    </row>
    <row r="584">
      <c r="A584" s="31" t="str">
        <f>IFERROR(__xludf.DUMMYFUNCTION("""COMPUTED_VALUE"""),"Ghost Rider: Spirit of Vengeance")</f>
        <v>Ghost Rider: Spirit of Vengeance</v>
      </c>
      <c r="B584" s="32">
        <f>IFERROR(__xludf.DUMMYFUNCTION("""COMPUTED_VALUE"""),40956.0)</f>
        <v>40956</v>
      </c>
      <c r="C584" s="33" t="str">
        <f>IFERROR(__xludf.DUMMYFUNCTION("""COMPUTED_VALUE"""),"Fantasy")</f>
        <v>Fantasy</v>
      </c>
      <c r="D584" s="33">
        <f>IFERROR(__xludf.DUMMYFUNCTION("""COMPUTED_VALUE"""),5.7E7)</f>
        <v>57000000</v>
      </c>
      <c r="E584" s="33">
        <f>IFERROR(__xludf.DUMMYFUNCTION("""COMPUTED_VALUE"""),1.326E8)</f>
        <v>132600000</v>
      </c>
    </row>
    <row r="585">
      <c r="A585" s="31" t="str">
        <f>IFERROR(__xludf.DUMMYFUNCTION("""COMPUTED_VALUE"""),"Ghostbusters")</f>
        <v>Ghostbusters</v>
      </c>
      <c r="B585" s="32">
        <f>IFERROR(__xludf.DUMMYFUNCTION("""COMPUTED_VALUE"""),42566.0)</f>
        <v>42566</v>
      </c>
      <c r="C585" s="33" t="str">
        <f>IFERROR(__xludf.DUMMYFUNCTION("""COMPUTED_VALUE"""),"Sci-Fi")</f>
        <v>Sci-Fi</v>
      </c>
      <c r="D585" s="33">
        <f>IFERROR(__xludf.DUMMYFUNCTION("""COMPUTED_VALUE"""),1.44E8)</f>
        <v>144000000</v>
      </c>
      <c r="E585" s="33">
        <f>IFERROR(__xludf.DUMMYFUNCTION("""COMPUTED_VALUE"""),2.175E8)</f>
        <v>217500000</v>
      </c>
    </row>
    <row r="586">
      <c r="A586" s="31" t="str">
        <f>IFERROR(__xludf.DUMMYFUNCTION("""COMPUTED_VALUE"""),"Gods of Egypt")</f>
        <v>Gods of Egypt</v>
      </c>
      <c r="B586" s="32">
        <f>IFERROR(__xludf.DUMMYFUNCTION("""COMPUTED_VALUE"""),42425.0)</f>
        <v>42425</v>
      </c>
      <c r="C586" s="33" t="str">
        <f>IFERROR(__xludf.DUMMYFUNCTION("""COMPUTED_VALUE"""),"Fantasy")</f>
        <v>Fantasy</v>
      </c>
      <c r="D586" s="33">
        <f>IFERROR(__xludf.DUMMYFUNCTION("""COMPUTED_VALUE"""),1.4E8)</f>
        <v>140000000</v>
      </c>
      <c r="E586" s="33">
        <f>IFERROR(__xludf.DUMMYFUNCTION("""COMPUTED_VALUE"""),1.457E8)</f>
        <v>145700000</v>
      </c>
    </row>
    <row r="587">
      <c r="A587" s="31" t="str">
        <f>IFERROR(__xludf.DUMMYFUNCTION("""COMPUTED_VALUE"""),"Godzilla")</f>
        <v>Godzilla</v>
      </c>
      <c r="B587" s="32">
        <f>IFERROR(__xludf.DUMMYFUNCTION("""COMPUTED_VALUE"""),41767.0)</f>
        <v>41767</v>
      </c>
      <c r="C587" s="33" t="str">
        <f>IFERROR(__xludf.DUMMYFUNCTION("""COMPUTED_VALUE"""),"Adventure")</f>
        <v>Adventure</v>
      </c>
      <c r="D587" s="33">
        <f>IFERROR(__xludf.DUMMYFUNCTION("""COMPUTED_VALUE"""),1.6E8)</f>
        <v>160000000</v>
      </c>
      <c r="E587" s="33">
        <f>IFERROR(__xludf.DUMMYFUNCTION("""COMPUTED_VALUE"""),5.29E8)</f>
        <v>529000000</v>
      </c>
    </row>
    <row r="588">
      <c r="A588" s="31" t="str">
        <f>IFERROR(__xludf.DUMMYFUNCTION("""COMPUTED_VALUE"""),"Gone Girl")</f>
        <v>Gone Girl</v>
      </c>
      <c r="B588" s="32">
        <f>IFERROR(__xludf.DUMMYFUNCTION("""COMPUTED_VALUE"""),41908.0)</f>
        <v>41908</v>
      </c>
      <c r="C588" s="33" t="str">
        <f>IFERROR(__xludf.DUMMYFUNCTION("""COMPUTED_VALUE"""),"Thriller")</f>
        <v>Thriller</v>
      </c>
      <c r="D588" s="33">
        <f>IFERROR(__xludf.DUMMYFUNCTION("""COMPUTED_VALUE"""),6.1E7)</f>
        <v>61000000</v>
      </c>
      <c r="E588" s="33">
        <f>IFERROR(__xludf.DUMMYFUNCTION("""COMPUTED_VALUE"""),3.693E8)</f>
        <v>369300000</v>
      </c>
    </row>
    <row r="589">
      <c r="A589" s="31" t="str">
        <f>IFERROR(__xludf.DUMMYFUNCTION("""COMPUTED_VALUE"""),"Good Deeds")</f>
        <v>Good Deeds</v>
      </c>
      <c r="B589" s="32">
        <f>IFERROR(__xludf.DUMMYFUNCTION("""COMPUTED_VALUE"""),40963.0)</f>
        <v>40963</v>
      </c>
      <c r="C589" s="33" t="str">
        <f>IFERROR(__xludf.DUMMYFUNCTION("""COMPUTED_VALUE"""),"Drama")</f>
        <v>Drama</v>
      </c>
      <c r="D589" s="33">
        <f>IFERROR(__xludf.DUMMYFUNCTION("""COMPUTED_VALUE"""),1.4E7)</f>
        <v>14000000</v>
      </c>
      <c r="E589" s="33">
        <f>IFERROR(__xludf.DUMMYFUNCTION("""COMPUTED_VALUE"""),3.56E7)</f>
        <v>35600000</v>
      </c>
    </row>
    <row r="590">
      <c r="A590" s="31" t="str">
        <f>IFERROR(__xludf.DUMMYFUNCTION("""COMPUTED_VALUE"""),"Goosebumps")</f>
        <v>Goosebumps</v>
      </c>
      <c r="B590" s="32">
        <f>IFERROR(__xludf.DUMMYFUNCTION("""COMPUTED_VALUE"""),42282.0)</f>
        <v>42282</v>
      </c>
      <c r="C590" s="33" t="str">
        <f>IFERROR(__xludf.DUMMYFUNCTION("""COMPUTED_VALUE"""),"Fantasy")</f>
        <v>Fantasy</v>
      </c>
      <c r="D590" s="33">
        <f>IFERROR(__xludf.DUMMYFUNCTION("""COMPUTED_VALUE"""),8.4E7)</f>
        <v>84000000</v>
      </c>
      <c r="E590" s="33">
        <f>IFERROR(__xludf.DUMMYFUNCTION("""COMPUTED_VALUE"""),1.502E8)</f>
        <v>150200000</v>
      </c>
    </row>
    <row r="591">
      <c r="A591" s="31" t="str">
        <f>IFERROR(__xludf.DUMMYFUNCTION("""COMPUTED_VALUE"""),"Hands of Stone")</f>
        <v>Hands of Stone</v>
      </c>
      <c r="B591" s="32">
        <f>IFERROR(__xludf.DUMMYFUNCTION("""COMPUTED_VALUE"""),42608.0)</f>
        <v>42608</v>
      </c>
      <c r="C591" s="33" t="str">
        <f>IFERROR(__xludf.DUMMYFUNCTION("""COMPUTED_VALUE"""),"Drama")</f>
        <v>Drama</v>
      </c>
      <c r="D591" s="33">
        <f>IFERROR(__xludf.DUMMYFUNCTION("""COMPUTED_VALUE"""),2.0E7)</f>
        <v>20000000</v>
      </c>
      <c r="E591" s="33">
        <f>IFERROR(__xludf.DUMMYFUNCTION("""COMPUTED_VALUE"""),1700000.0)</f>
        <v>1700000</v>
      </c>
    </row>
    <row r="592">
      <c r="A592" s="31" t="str">
        <f>IFERROR(__xludf.DUMMYFUNCTION("""COMPUTED_VALUE"""),"Hansel and Gretel: Witch Hunters")</f>
        <v>Hansel and Gretel: Witch Hunters</v>
      </c>
      <c r="B592" s="32">
        <f>IFERROR(__xludf.DUMMYFUNCTION("""COMPUTED_VALUE"""),41291.0)</f>
        <v>41291</v>
      </c>
      <c r="C592" s="33" t="str">
        <f>IFERROR(__xludf.DUMMYFUNCTION("""COMPUTED_VALUE"""),"Fantasy")</f>
        <v>Fantasy</v>
      </c>
      <c r="D592" s="33">
        <f>IFERROR(__xludf.DUMMYFUNCTION("""COMPUTED_VALUE"""),5.0E7)</f>
        <v>50000000</v>
      </c>
      <c r="E592" s="33">
        <f>IFERROR(__xludf.DUMMYFUNCTION("""COMPUTED_VALUE"""),2.263E8)</f>
        <v>226300000</v>
      </c>
    </row>
    <row r="593">
      <c r="A593" s="31" t="str">
        <f>IFERROR(__xludf.DUMMYFUNCTION("""COMPUTED_VALUE"""),"Hit and Run")</f>
        <v>Hit and Run</v>
      </c>
      <c r="B593" s="32">
        <f>IFERROR(__xludf.DUMMYFUNCTION("""COMPUTED_VALUE"""),41143.0)</f>
        <v>41143</v>
      </c>
      <c r="C593" s="33" t="str">
        <f>IFERROR(__xludf.DUMMYFUNCTION("""COMPUTED_VALUE"""),"Comedy")</f>
        <v>Comedy</v>
      </c>
      <c r="D593" s="33">
        <f>IFERROR(__xludf.DUMMYFUNCTION("""COMPUTED_VALUE"""),2000000.0)</f>
        <v>2000000</v>
      </c>
      <c r="E593" s="33">
        <f>IFERROR(__xludf.DUMMYFUNCTION("""COMPUTED_VALUE"""),1.45E7)</f>
        <v>14500000</v>
      </c>
    </row>
    <row r="594">
      <c r="A594" s="31" t="str">
        <f>IFERROR(__xludf.DUMMYFUNCTION("""COMPUTED_VALUE"""),"Hitman: Agent 47")</f>
        <v>Hitman: Agent 47</v>
      </c>
      <c r="B594" s="32">
        <f>IFERROR(__xludf.DUMMYFUNCTION("""COMPUTED_VALUE"""),42237.0)</f>
        <v>42237</v>
      </c>
      <c r="C594" s="33" t="str">
        <f>IFERROR(__xludf.DUMMYFUNCTION("""COMPUTED_VALUE"""),"Thriller")</f>
        <v>Thriller</v>
      </c>
      <c r="D594" s="33">
        <f>IFERROR(__xludf.DUMMYFUNCTION("""COMPUTED_VALUE"""),3.5E7)</f>
        <v>35000000</v>
      </c>
      <c r="E594" s="33">
        <f>IFERROR(__xludf.DUMMYFUNCTION("""COMPUTED_VALUE"""),8.23E7)</f>
        <v>82300000</v>
      </c>
    </row>
    <row r="595">
      <c r="A595" s="31" t="str">
        <f>IFERROR(__xludf.DUMMYFUNCTION("""COMPUTED_VALUE"""),"Home")</f>
        <v>Home</v>
      </c>
      <c r="B595" s="32">
        <f>IFERROR(__xludf.DUMMYFUNCTION("""COMPUTED_VALUE"""),42070.0)</f>
        <v>42070</v>
      </c>
      <c r="C595" s="33" t="str">
        <f>IFERROR(__xludf.DUMMYFUNCTION("""COMPUTED_VALUE"""),"Comedy")</f>
        <v>Comedy</v>
      </c>
      <c r="D595" s="33">
        <f>IFERROR(__xludf.DUMMYFUNCTION("""COMPUTED_VALUE"""),1.35E8)</f>
        <v>135000000</v>
      </c>
      <c r="E595" s="33">
        <f>IFERROR(__xludf.DUMMYFUNCTION("""COMPUTED_VALUE"""),3.86E8)</f>
        <v>386000000</v>
      </c>
    </row>
    <row r="596">
      <c r="A596" s="31" t="str">
        <f>IFERROR(__xludf.DUMMYFUNCTION("""COMPUTED_VALUE"""),"Hope Springs")</f>
        <v>Hope Springs</v>
      </c>
      <c r="B596" s="32">
        <f>IFERROR(__xludf.DUMMYFUNCTION("""COMPUTED_VALUE"""),41129.0)</f>
        <v>41129</v>
      </c>
      <c r="C596" s="33" t="str">
        <f>IFERROR(__xludf.DUMMYFUNCTION("""COMPUTED_VALUE"""),"Drama")</f>
        <v>Drama</v>
      </c>
      <c r="D596" s="33">
        <f>IFERROR(__xludf.DUMMYFUNCTION("""COMPUTED_VALUE"""),3.0E7)</f>
        <v>30000000</v>
      </c>
      <c r="E596" s="33">
        <f>IFERROR(__xludf.DUMMYFUNCTION("""COMPUTED_VALUE"""),1.143E8)</f>
        <v>114300000</v>
      </c>
    </row>
    <row r="597">
      <c r="A597" s="31" t="str">
        <f>IFERROR(__xludf.DUMMYFUNCTION("""COMPUTED_VALUE"""),"Hot Pursuit")</f>
        <v>Hot Pursuit</v>
      </c>
      <c r="B597" s="32">
        <f>IFERROR(__xludf.DUMMYFUNCTION("""COMPUTED_VALUE"""),42132.0)</f>
        <v>42132</v>
      </c>
      <c r="C597" s="33" t="str">
        <f>IFERROR(__xludf.DUMMYFUNCTION("""COMPUTED_VALUE"""),"Comedy")</f>
        <v>Comedy</v>
      </c>
      <c r="D597" s="33">
        <f>IFERROR(__xludf.DUMMYFUNCTION("""COMPUTED_VALUE"""),3.5E7)</f>
        <v>35000000</v>
      </c>
      <c r="E597" s="33">
        <f>IFERROR(__xludf.DUMMYFUNCTION("""COMPUTED_VALUE"""),5.17E7)</f>
        <v>51700000</v>
      </c>
    </row>
    <row r="598">
      <c r="A598" s="31" t="str">
        <f>IFERROR(__xludf.DUMMYFUNCTION("""COMPUTED_VALUE"""),"Hotel Transylvania 2")</f>
        <v>Hotel Transylvania 2</v>
      </c>
      <c r="B598" s="32">
        <f>IFERROR(__xludf.DUMMYFUNCTION("""COMPUTED_VALUE"""),42272.0)</f>
        <v>42272</v>
      </c>
      <c r="C598" s="33" t="str">
        <f>IFERROR(__xludf.DUMMYFUNCTION("""COMPUTED_VALUE"""),"Comedy")</f>
        <v>Comedy</v>
      </c>
      <c r="D598" s="33">
        <f>IFERROR(__xludf.DUMMYFUNCTION("""COMPUTED_VALUE"""),8.0E7)</f>
        <v>80000000</v>
      </c>
      <c r="E598" s="33">
        <f>IFERROR(__xludf.DUMMYFUNCTION("""COMPUTED_VALUE"""),4.73E8)</f>
        <v>473000000</v>
      </c>
    </row>
    <row r="599">
      <c r="A599" s="31" t="str">
        <f>IFERROR(__xludf.DUMMYFUNCTION("""COMPUTED_VALUE"""),"I")</f>
        <v>I</v>
      </c>
      <c r="B599" s="32">
        <f>IFERROR(__xludf.DUMMYFUNCTION("""COMPUTED_VALUE"""),42018.0)</f>
        <v>42018</v>
      </c>
      <c r="C599" s="33" t="str">
        <f>IFERROR(__xludf.DUMMYFUNCTION("""COMPUTED_VALUE"""),"Thriller")</f>
        <v>Thriller</v>
      </c>
      <c r="D599" s="33">
        <f>IFERROR(__xludf.DUMMYFUNCTION("""COMPUTED_VALUE"""),1.5E7)</f>
        <v>15000000</v>
      </c>
      <c r="E599" s="33">
        <f>IFERROR(__xludf.DUMMYFUNCTION("""COMPUTED_VALUE"""),6.5E7)</f>
        <v>65000000</v>
      </c>
    </row>
    <row r="600">
      <c r="A600" s="31" t="str">
        <f>IFERROR(__xludf.DUMMYFUNCTION("""COMPUTED_VALUE"""),"I Saw the Light")</f>
        <v>I Saw the Light</v>
      </c>
      <c r="B600" s="32">
        <f>IFERROR(__xludf.DUMMYFUNCTION("""COMPUTED_VALUE"""),42258.0)</f>
        <v>42258</v>
      </c>
      <c r="C600" s="33" t="str">
        <f>IFERROR(__xludf.DUMMYFUNCTION("""COMPUTED_VALUE"""),"Musical")</f>
        <v>Musical</v>
      </c>
      <c r="D600" s="33">
        <f>IFERROR(__xludf.DUMMYFUNCTION("""COMPUTED_VALUE"""),1.3E7)</f>
        <v>13000000</v>
      </c>
      <c r="E600" s="33">
        <f>IFERROR(__xludf.DUMMYFUNCTION("""COMPUTED_VALUE"""),2600000.0)</f>
        <v>2600000</v>
      </c>
    </row>
    <row r="601">
      <c r="A601" s="31" t="str">
        <f>IFERROR(__xludf.DUMMYFUNCTION("""COMPUTED_VALUE"""),"Identity Thief")</f>
        <v>Identity Thief</v>
      </c>
      <c r="B601" s="32">
        <f>IFERROR(__xludf.DUMMYFUNCTION("""COMPUTED_VALUE"""),41313.0)</f>
        <v>41313</v>
      </c>
      <c r="C601" s="33" t="str">
        <f>IFERROR(__xludf.DUMMYFUNCTION("""COMPUTED_VALUE"""),"Comedy")</f>
        <v>Comedy</v>
      </c>
      <c r="D601" s="33">
        <f>IFERROR(__xludf.DUMMYFUNCTION("""COMPUTED_VALUE"""),3.5E7)</f>
        <v>35000000</v>
      </c>
      <c r="E601" s="33">
        <f>IFERROR(__xludf.DUMMYFUNCTION("""COMPUTED_VALUE"""),1.74E8)</f>
        <v>174000000</v>
      </c>
    </row>
    <row r="602">
      <c r="A602" s="31" t="str">
        <f>IFERROR(__xludf.DUMMYFUNCTION("""COMPUTED_VALUE"""),"Independence Day: Resurgence")</f>
        <v>Independence Day: Resurgence</v>
      </c>
      <c r="B602" s="32">
        <f>IFERROR(__xludf.DUMMYFUNCTION("""COMPUTED_VALUE"""),42541.0)</f>
        <v>42541</v>
      </c>
      <c r="C602" s="33" t="str">
        <f>IFERROR(__xludf.DUMMYFUNCTION("""COMPUTED_VALUE"""),"Adventure")</f>
        <v>Adventure</v>
      </c>
      <c r="D602" s="33">
        <f>IFERROR(__xludf.DUMMYFUNCTION("""COMPUTED_VALUE"""),1.65E8)</f>
        <v>165000000</v>
      </c>
      <c r="E602" s="33">
        <f>IFERROR(__xludf.DUMMYFUNCTION("""COMPUTED_VALUE"""),3.823E8)</f>
        <v>382300000</v>
      </c>
    </row>
    <row r="603">
      <c r="A603" s="31" t="str">
        <f>IFERROR(__xludf.DUMMYFUNCTION("""COMPUTED_VALUE"""),"Into the Storm")</f>
        <v>Into the Storm</v>
      </c>
      <c r="B603" s="32">
        <f>IFERROR(__xludf.DUMMYFUNCTION("""COMPUTED_VALUE"""),41859.0)</f>
        <v>41859</v>
      </c>
      <c r="C603" s="33" t="str">
        <f>IFERROR(__xludf.DUMMYFUNCTION("""COMPUTED_VALUE"""),"Thriller")</f>
        <v>Thriller</v>
      </c>
      <c r="D603" s="33">
        <f>IFERROR(__xludf.DUMMYFUNCTION("""COMPUTED_VALUE"""),5.0E7)</f>
        <v>50000000</v>
      </c>
      <c r="E603" s="33">
        <f>IFERROR(__xludf.DUMMYFUNCTION("""COMPUTED_VALUE"""),1.617E8)</f>
        <v>161700000</v>
      </c>
    </row>
    <row r="604">
      <c r="A604" s="31" t="str">
        <f>IFERROR(__xludf.DUMMYFUNCTION("""COMPUTED_VALUE"""),"Iron Sky")</f>
        <v>Iron Sky</v>
      </c>
      <c r="B604" s="32">
        <f>IFERROR(__xludf.DUMMYFUNCTION("""COMPUTED_VALUE"""),41115.0)</f>
        <v>41115</v>
      </c>
      <c r="C604" s="33" t="str">
        <f>IFERROR(__xludf.DUMMYFUNCTION("""COMPUTED_VALUE"""),"Sci-Fi")</f>
        <v>Sci-Fi</v>
      </c>
      <c r="D604" s="33">
        <f>IFERROR(__xludf.DUMMYFUNCTION("""COMPUTED_VALUE"""),7500000.0)</f>
        <v>7500000</v>
      </c>
      <c r="E604" s="33">
        <f>IFERROR(__xludf.DUMMYFUNCTION("""COMPUTED_VALUE"""),8100000.0)</f>
        <v>8100000</v>
      </c>
    </row>
    <row r="605">
      <c r="A605" s="31" t="str">
        <f>IFERROR(__xludf.DUMMYFUNCTION("""COMPUTED_VALUE"""),"Irrational Man")</f>
        <v>Irrational Man</v>
      </c>
      <c r="B605" s="32">
        <f>IFERROR(__xludf.DUMMYFUNCTION("""COMPUTED_VALUE"""),42140.0)</f>
        <v>42140</v>
      </c>
      <c r="C605" s="33" t="str">
        <f>IFERROR(__xludf.DUMMYFUNCTION("""COMPUTED_VALUE"""),"Drama")</f>
        <v>Drama</v>
      </c>
      <c r="D605" s="33">
        <f>IFERROR(__xludf.DUMMYFUNCTION("""COMPUTED_VALUE"""),1.1E7)</f>
        <v>11000000</v>
      </c>
      <c r="E605" s="33">
        <f>IFERROR(__xludf.DUMMYFUNCTION("""COMPUTED_VALUE"""),2.74E7)</f>
        <v>27400000</v>
      </c>
    </row>
    <row r="606">
      <c r="A606" s="31" t="str">
        <f>IFERROR(__xludf.DUMMYFUNCTION("""COMPUTED_VALUE"""),"Jack Reacher")</f>
        <v>Jack Reacher</v>
      </c>
      <c r="B606" s="32">
        <f>IFERROR(__xludf.DUMMYFUNCTION("""COMPUTED_VALUE"""),41264.0)</f>
        <v>41264</v>
      </c>
      <c r="C606" s="33" t="str">
        <f>IFERROR(__xludf.DUMMYFUNCTION("""COMPUTED_VALUE"""),"Drama")</f>
        <v>Drama</v>
      </c>
      <c r="D606" s="33">
        <f>IFERROR(__xludf.DUMMYFUNCTION("""COMPUTED_VALUE"""),6.0E7)</f>
        <v>60000000</v>
      </c>
      <c r="E606" s="33">
        <f>IFERROR(__xludf.DUMMYFUNCTION("""COMPUTED_VALUE"""),2.183E8)</f>
        <v>218300000</v>
      </c>
    </row>
    <row r="607">
      <c r="A607" s="31" t="str">
        <f>IFERROR(__xludf.DUMMYFUNCTION("""COMPUTED_VALUE"""),"Jack Ryan: Shadow Recruit")</f>
        <v>Jack Ryan: Shadow Recruit</v>
      </c>
      <c r="B607" s="32">
        <f>IFERROR(__xludf.DUMMYFUNCTION("""COMPUTED_VALUE"""),41654.0)</f>
        <v>41654</v>
      </c>
      <c r="C607" s="33" t="str">
        <f>IFERROR(__xludf.DUMMYFUNCTION("""COMPUTED_VALUE"""),"Adventure")</f>
        <v>Adventure</v>
      </c>
      <c r="D607" s="33">
        <f>IFERROR(__xludf.DUMMYFUNCTION("""COMPUTED_VALUE"""),6.0E7)</f>
        <v>60000000</v>
      </c>
      <c r="E607" s="33">
        <f>IFERROR(__xludf.DUMMYFUNCTION("""COMPUTED_VALUE"""),1.355E8)</f>
        <v>135500000</v>
      </c>
    </row>
    <row r="608">
      <c r="A608" s="31" t="str">
        <f>IFERROR(__xludf.DUMMYFUNCTION("""COMPUTED_VALUE"""),"Jane Got a Gun")</f>
        <v>Jane Got a Gun</v>
      </c>
      <c r="B608" s="32">
        <f>IFERROR(__xludf.DUMMYFUNCTION("""COMPUTED_VALUE"""),42398.0)</f>
        <v>42398</v>
      </c>
      <c r="C608" s="33" t="str">
        <f>IFERROR(__xludf.DUMMYFUNCTION("""COMPUTED_VALUE"""),"Drama")</f>
        <v>Drama</v>
      </c>
      <c r="D608" s="33">
        <f>IFERROR(__xludf.DUMMYFUNCTION("""COMPUTED_VALUE"""),2.5E7)</f>
        <v>25000000</v>
      </c>
      <c r="E608" s="33">
        <f>IFERROR(__xludf.DUMMYFUNCTION("""COMPUTED_VALUE"""),3000000.0)</f>
        <v>3000000</v>
      </c>
    </row>
    <row r="609">
      <c r="A609" s="31" t="str">
        <f>IFERROR(__xludf.DUMMYFUNCTION("""COMPUTED_VALUE"""),"Jason Bourne")</f>
        <v>Jason Bourne</v>
      </c>
      <c r="B609" s="32">
        <f>IFERROR(__xludf.DUMMYFUNCTION("""COMPUTED_VALUE"""),42580.0)</f>
        <v>42580</v>
      </c>
      <c r="C609" s="33" t="str">
        <f>IFERROR(__xludf.DUMMYFUNCTION("""COMPUTED_VALUE"""),"Thriller")</f>
        <v>Thriller</v>
      </c>
      <c r="D609" s="33">
        <f>IFERROR(__xludf.DUMMYFUNCTION("""COMPUTED_VALUE"""),1.2E8)</f>
        <v>120000000</v>
      </c>
      <c r="E609" s="33">
        <f>IFERROR(__xludf.DUMMYFUNCTION("""COMPUTED_VALUE"""),3.479E8)</f>
        <v>347900000</v>
      </c>
    </row>
    <row r="610">
      <c r="A610" s="31" t="str">
        <f>IFERROR(__xludf.DUMMYFUNCTION("""COMPUTED_VALUE"""),"Jeff, Who Lives at Home")</f>
        <v>Jeff, Who Lives at Home</v>
      </c>
      <c r="B610" s="32">
        <f>IFERROR(__xludf.DUMMYFUNCTION("""COMPUTED_VALUE"""),40984.0)</f>
        <v>40984</v>
      </c>
      <c r="C610" s="33" t="str">
        <f>IFERROR(__xludf.DUMMYFUNCTION("""COMPUTED_VALUE"""),"Drama")</f>
        <v>Drama</v>
      </c>
      <c r="D610" s="33">
        <f>IFERROR(__xludf.DUMMYFUNCTION("""COMPUTED_VALUE"""),7500000.0)</f>
        <v>7500000</v>
      </c>
      <c r="E610" s="33">
        <f>IFERROR(__xludf.DUMMYFUNCTION("""COMPUTED_VALUE"""),7500000.0)</f>
        <v>7500000</v>
      </c>
    </row>
    <row r="611">
      <c r="A611" s="31" t="str">
        <f>IFERROR(__xludf.DUMMYFUNCTION("""COMPUTED_VALUE"""),"Jem and the Holograms")</f>
        <v>Jem and the Holograms</v>
      </c>
      <c r="B611" s="32">
        <f>IFERROR(__xludf.DUMMYFUNCTION("""COMPUTED_VALUE"""),42300.0)</f>
        <v>42300</v>
      </c>
      <c r="C611" s="33" t="str">
        <f>IFERROR(__xludf.DUMMYFUNCTION("""COMPUTED_VALUE"""),"Comedy")</f>
        <v>Comedy</v>
      </c>
      <c r="D611" s="33">
        <f>IFERROR(__xludf.DUMMYFUNCTION("""COMPUTED_VALUE"""),5000000.0)</f>
        <v>5000000</v>
      </c>
      <c r="E611" s="33">
        <f>IFERROR(__xludf.DUMMYFUNCTION("""COMPUTED_VALUE"""),2300000.0)</f>
        <v>2300000</v>
      </c>
    </row>
    <row r="612">
      <c r="A612" s="31" t="str">
        <f>IFERROR(__xludf.DUMMYFUNCTION("""COMPUTED_VALUE"""),"Jersey Boys")</f>
        <v>Jersey Boys</v>
      </c>
      <c r="B612" s="32">
        <f>IFERROR(__xludf.DUMMYFUNCTION("""COMPUTED_VALUE"""),41795.0)</f>
        <v>41795</v>
      </c>
      <c r="C612" s="33" t="str">
        <f>IFERROR(__xludf.DUMMYFUNCTION("""COMPUTED_VALUE"""),"Musical")</f>
        <v>Musical</v>
      </c>
      <c r="D612" s="33">
        <f>IFERROR(__xludf.DUMMYFUNCTION("""COMPUTED_VALUE"""),5.86E7)</f>
        <v>58600000</v>
      </c>
      <c r="E612" s="33">
        <f>IFERROR(__xludf.DUMMYFUNCTION("""COMPUTED_VALUE"""),6.77E7)</f>
        <v>67700000</v>
      </c>
    </row>
    <row r="613">
      <c r="A613" s="31" t="str">
        <f>IFERROR(__xludf.DUMMYFUNCTION("""COMPUTED_VALUE"""),"John Wick")</f>
        <v>John Wick</v>
      </c>
      <c r="B613" s="32">
        <f>IFERROR(__xludf.DUMMYFUNCTION("""COMPUTED_VALUE"""),41925.0)</f>
        <v>41925</v>
      </c>
      <c r="C613" s="33" t="str">
        <f>IFERROR(__xludf.DUMMYFUNCTION("""COMPUTED_VALUE"""),"Thriller")</f>
        <v>Thriller</v>
      </c>
      <c r="D613" s="33">
        <f>IFERROR(__xludf.DUMMYFUNCTION("""COMPUTED_VALUE"""),2.0E7)</f>
        <v>20000000</v>
      </c>
      <c r="E613" s="33">
        <f>IFERROR(__xludf.DUMMYFUNCTION("""COMPUTED_VALUE"""),8.6E7)</f>
        <v>86000000</v>
      </c>
    </row>
    <row r="614">
      <c r="A614" s="31" t="str">
        <f>IFERROR(__xludf.DUMMYFUNCTION("""COMPUTED_VALUE"""),"Joy")</f>
        <v>Joy</v>
      </c>
      <c r="B614" s="32">
        <f>IFERROR(__xludf.DUMMYFUNCTION("""COMPUTED_VALUE"""),42363.0)</f>
        <v>42363</v>
      </c>
      <c r="C614" s="33" t="str">
        <f>IFERROR(__xludf.DUMMYFUNCTION("""COMPUTED_VALUE"""),"Drama")</f>
        <v>Drama</v>
      </c>
      <c r="D614" s="33">
        <f>IFERROR(__xludf.DUMMYFUNCTION("""COMPUTED_VALUE"""),6.0E7)</f>
        <v>60000000</v>
      </c>
      <c r="E614" s="33">
        <f>IFERROR(__xludf.DUMMYFUNCTION("""COMPUTED_VALUE"""),1.011E8)</f>
        <v>101100000</v>
      </c>
    </row>
    <row r="615">
      <c r="A615" s="31" t="str">
        <f>IFERROR(__xludf.DUMMYFUNCTION("""COMPUTED_VALUE"""),"Kill the Messenger")</f>
        <v>Kill the Messenger</v>
      </c>
      <c r="B615" s="32">
        <f>IFERROR(__xludf.DUMMYFUNCTION("""COMPUTED_VALUE"""),41922.0)</f>
        <v>41922</v>
      </c>
      <c r="C615" s="33" t="str">
        <f>IFERROR(__xludf.DUMMYFUNCTION("""COMPUTED_VALUE"""),"Drama")</f>
        <v>Drama</v>
      </c>
      <c r="D615" s="33">
        <f>IFERROR(__xludf.DUMMYFUNCTION("""COMPUTED_VALUE"""),5000000.0)</f>
        <v>5000000</v>
      </c>
      <c r="E615" s="33">
        <f>IFERROR(__xludf.DUMMYFUNCTION("""COMPUTED_VALUE"""),2500000.0)</f>
        <v>2500000</v>
      </c>
    </row>
    <row r="616">
      <c r="A616" s="31" t="str">
        <f>IFERROR(__xludf.DUMMYFUNCTION("""COMPUTED_VALUE"""),"Killing Them Softly")</f>
        <v>Killing Them Softly</v>
      </c>
      <c r="B616" s="32">
        <f>IFERROR(__xludf.DUMMYFUNCTION("""COMPUTED_VALUE"""),41243.0)</f>
        <v>41243</v>
      </c>
      <c r="C616" s="33" t="str">
        <f>IFERROR(__xludf.DUMMYFUNCTION("""COMPUTED_VALUE"""),"Drama")</f>
        <v>Drama</v>
      </c>
      <c r="D616" s="33">
        <f>IFERROR(__xludf.DUMMYFUNCTION("""COMPUTED_VALUE"""),1.5E7)</f>
        <v>15000000</v>
      </c>
      <c r="E616" s="33">
        <f>IFERROR(__xludf.DUMMYFUNCTION("""COMPUTED_VALUE"""),3.79E7)</f>
        <v>37900000</v>
      </c>
    </row>
    <row r="617">
      <c r="A617" s="31" t="str">
        <f>IFERROR(__xludf.DUMMYFUNCTION("""COMPUTED_VALUE"""),"Kung Fu Panda 3")</f>
        <v>Kung Fu Panda 3</v>
      </c>
      <c r="B617" s="32">
        <f>IFERROR(__xludf.DUMMYFUNCTION("""COMPUTED_VALUE"""),42392.0)</f>
        <v>42392</v>
      </c>
      <c r="C617" s="33" t="str">
        <f>IFERROR(__xludf.DUMMYFUNCTION("""COMPUTED_VALUE"""),"Comedy")</f>
        <v>Comedy</v>
      </c>
      <c r="D617" s="33">
        <f>IFERROR(__xludf.DUMMYFUNCTION("""COMPUTED_VALUE"""),1.45E8)</f>
        <v>145000000</v>
      </c>
      <c r="E617" s="33">
        <f>IFERROR(__xludf.DUMMYFUNCTION("""COMPUTED_VALUE"""),5.199E8)</f>
        <v>519900000</v>
      </c>
    </row>
    <row r="618">
      <c r="A618" s="31" t="str">
        <f>IFERROR(__xludf.DUMMYFUNCTION("""COMPUTED_VALUE"""),"Lazer Team")</f>
        <v>Lazer Team</v>
      </c>
      <c r="B618" s="32">
        <f>IFERROR(__xludf.DUMMYFUNCTION("""COMPUTED_VALUE"""),42396.0)</f>
        <v>42396</v>
      </c>
      <c r="C618" s="33" t="str">
        <f>IFERROR(__xludf.DUMMYFUNCTION("""COMPUTED_VALUE"""),"Comedy")</f>
        <v>Comedy</v>
      </c>
      <c r="D618" s="33">
        <f>IFERROR(__xludf.DUMMYFUNCTION("""COMPUTED_VALUE"""),2400000.0)</f>
        <v>2400000</v>
      </c>
      <c r="E618" s="33">
        <f>IFERROR(__xludf.DUMMYFUNCTION("""COMPUTED_VALUE"""),1600000.0)</f>
        <v>1600000</v>
      </c>
    </row>
    <row r="619">
      <c r="A619" s="31" t="str">
        <f>IFERROR(__xludf.DUMMYFUNCTION("""COMPUTED_VALUE"""),"Left Behind")</f>
        <v>Left Behind</v>
      </c>
      <c r="B619" s="32">
        <f>IFERROR(__xludf.DUMMYFUNCTION("""COMPUTED_VALUE"""),41915.0)</f>
        <v>41915</v>
      </c>
      <c r="C619" s="33" t="str">
        <f>IFERROR(__xludf.DUMMYFUNCTION("""COMPUTED_VALUE"""),"Thriller")</f>
        <v>Thriller</v>
      </c>
      <c r="D619" s="33">
        <f>IFERROR(__xludf.DUMMYFUNCTION("""COMPUTED_VALUE"""),1.6E7)</f>
        <v>16000000</v>
      </c>
      <c r="E619" s="33">
        <f>IFERROR(__xludf.DUMMYFUNCTION("""COMPUTED_VALUE"""),2.76E7)</f>
        <v>27600000</v>
      </c>
    </row>
    <row r="620">
      <c r="A620" s="31" t="str">
        <f>IFERROR(__xludf.DUMMYFUNCTION("""COMPUTED_VALUE"""),"Let's Be Cops")</f>
        <v>Let's Be Cops</v>
      </c>
      <c r="B620" s="32">
        <f>IFERROR(__xludf.DUMMYFUNCTION("""COMPUTED_VALUE"""),41864.0)</f>
        <v>41864</v>
      </c>
      <c r="C620" s="33" t="str">
        <f>IFERROR(__xludf.DUMMYFUNCTION("""COMPUTED_VALUE"""),"Comedy")</f>
        <v>Comedy</v>
      </c>
      <c r="D620" s="33">
        <f>IFERROR(__xludf.DUMMYFUNCTION("""COMPUTED_VALUE"""),1.7E7)</f>
        <v>17000000</v>
      </c>
      <c r="E620" s="33">
        <f>IFERROR(__xludf.DUMMYFUNCTION("""COMPUTED_VALUE"""),1.382E8)</f>
        <v>138200000</v>
      </c>
    </row>
    <row r="621">
      <c r="A621" s="31" t="str">
        <f>IFERROR(__xludf.DUMMYFUNCTION("""COMPUTED_VALUE"""),"Life of Pi")</f>
        <v>Life of Pi</v>
      </c>
      <c r="B621" s="32">
        <f>IFERROR(__xludf.DUMMYFUNCTION("""COMPUTED_VALUE"""),41234.0)</f>
        <v>41234</v>
      </c>
      <c r="C621" s="33" t="str">
        <f>IFERROR(__xludf.DUMMYFUNCTION("""COMPUTED_VALUE"""),"Adventure")</f>
        <v>Adventure</v>
      </c>
      <c r="D621" s="33">
        <f>IFERROR(__xludf.DUMMYFUNCTION("""COMPUTED_VALUE"""),1.2E8)</f>
        <v>120000000</v>
      </c>
      <c r="E621" s="33">
        <f>IFERROR(__xludf.DUMMYFUNCTION("""COMPUTED_VALUE"""),6.09E8)</f>
        <v>609000000</v>
      </c>
    </row>
    <row r="622">
      <c r="A622" s="31" t="str">
        <f>IFERROR(__xludf.DUMMYFUNCTION("""COMPUTED_VALUE"""),"Lights Out")</f>
        <v>Lights Out</v>
      </c>
      <c r="B622" s="32">
        <f>IFERROR(__xludf.DUMMYFUNCTION("""COMPUTED_VALUE"""),42573.0)</f>
        <v>42573</v>
      </c>
      <c r="C622" s="33" t="str">
        <f>IFERROR(__xludf.DUMMYFUNCTION("""COMPUTED_VALUE"""),"Thriller")</f>
        <v>Thriller</v>
      </c>
      <c r="D622" s="33">
        <f>IFERROR(__xludf.DUMMYFUNCTION("""COMPUTED_VALUE"""),4900000.0)</f>
        <v>4900000</v>
      </c>
      <c r="E622" s="33">
        <f>IFERROR(__xludf.DUMMYFUNCTION("""COMPUTED_VALUE"""),1.259E8)</f>
        <v>125900000</v>
      </c>
    </row>
    <row r="623">
      <c r="A623" s="31" t="str">
        <f>IFERROR(__xludf.DUMMYFUNCTION("""COMPUTED_VALUE"""),"Lockout")</f>
        <v>Lockout</v>
      </c>
      <c r="B623" s="32">
        <f>IFERROR(__xludf.DUMMYFUNCTION("""COMPUTED_VALUE"""),41012.0)</f>
        <v>41012</v>
      </c>
      <c r="C623" s="33" t="str">
        <f>IFERROR(__xludf.DUMMYFUNCTION("""COMPUTED_VALUE"""),"Sci-Fi")</f>
        <v>Sci-Fi</v>
      </c>
      <c r="D623" s="33">
        <f>IFERROR(__xludf.DUMMYFUNCTION("""COMPUTED_VALUE"""),2.0E7)</f>
        <v>20000000</v>
      </c>
      <c r="E623" s="33">
        <f>IFERROR(__xludf.DUMMYFUNCTION("""COMPUTED_VALUE"""),3.2200000000000004E7)</f>
        <v>32200000</v>
      </c>
    </row>
    <row r="624">
      <c r="A624" s="31" t="str">
        <f>IFERROR(__xludf.DUMMYFUNCTION("""COMPUTED_VALUE"""),"Looper")</f>
        <v>Looper</v>
      </c>
      <c r="B624" s="32">
        <f>IFERROR(__xludf.DUMMYFUNCTION("""COMPUTED_VALUE"""),41180.0)</f>
        <v>41180</v>
      </c>
      <c r="C624" s="33" t="str">
        <f>IFERROR(__xludf.DUMMYFUNCTION("""COMPUTED_VALUE"""),"Sci-Fi")</f>
        <v>Sci-Fi</v>
      </c>
      <c r="D624" s="33">
        <f>IFERROR(__xludf.DUMMYFUNCTION("""COMPUTED_VALUE"""),3.0E7)</f>
        <v>30000000</v>
      </c>
      <c r="E624" s="33">
        <f>IFERROR(__xludf.DUMMYFUNCTION("""COMPUTED_VALUE"""),1.765E8)</f>
        <v>176500000</v>
      </c>
    </row>
    <row r="625">
      <c r="A625" s="31" t="str">
        <f>IFERROR(__xludf.DUMMYFUNCTION("""COMPUTED_VALUE"""),"Love the Coopers")</f>
        <v>Love the Coopers</v>
      </c>
      <c r="B625" s="32">
        <f>IFERROR(__xludf.DUMMYFUNCTION("""COMPUTED_VALUE"""),42312.0)</f>
        <v>42312</v>
      </c>
      <c r="C625" s="33" t="str">
        <f>IFERROR(__xludf.DUMMYFUNCTION("""COMPUTED_VALUE"""),"Comedy")</f>
        <v>Comedy</v>
      </c>
      <c r="D625" s="33">
        <f>IFERROR(__xludf.DUMMYFUNCTION("""COMPUTED_VALUE"""),2.4E7)</f>
        <v>24000000</v>
      </c>
      <c r="E625" s="33">
        <f>IFERROR(__xludf.DUMMYFUNCTION("""COMPUTED_VALUE"""),4.11E7)</f>
        <v>41100000</v>
      </c>
    </row>
    <row r="626">
      <c r="A626" s="31" t="str">
        <f>IFERROR(__xludf.DUMMYFUNCTION("""COMPUTED_VALUE"""),"Mama")</f>
        <v>Mama</v>
      </c>
      <c r="B626" s="32">
        <f>IFERROR(__xludf.DUMMYFUNCTION("""COMPUTED_VALUE"""),41292.0)</f>
        <v>41292</v>
      </c>
      <c r="C626" s="33" t="str">
        <f>IFERROR(__xludf.DUMMYFUNCTION("""COMPUTED_VALUE"""),"Thriller")</f>
        <v>Thriller</v>
      </c>
      <c r="D626" s="33">
        <f>IFERROR(__xludf.DUMMYFUNCTION("""COMPUTED_VALUE"""),1.5E7)</f>
        <v>15000000</v>
      </c>
      <c r="E626" s="33">
        <f>IFERROR(__xludf.DUMMYFUNCTION("""COMPUTED_VALUE"""),1.464E8)</f>
        <v>146400000</v>
      </c>
    </row>
    <row r="627">
      <c r="A627" s="31" t="str">
        <f>IFERROR(__xludf.DUMMYFUNCTION("""COMPUTED_VALUE"""),"Man of Steel")</f>
        <v>Man of Steel</v>
      </c>
      <c r="B627" s="32">
        <f>IFERROR(__xludf.DUMMYFUNCTION("""COMPUTED_VALUE"""),41439.0)</f>
        <v>41439</v>
      </c>
      <c r="C627" s="33" t="str">
        <f>IFERROR(__xludf.DUMMYFUNCTION("""COMPUTED_VALUE"""),"Adventure")</f>
        <v>Adventure</v>
      </c>
      <c r="D627" s="33">
        <f>IFERROR(__xludf.DUMMYFUNCTION("""COMPUTED_VALUE"""),2.25E8)</f>
        <v>225000000</v>
      </c>
      <c r="E627" s="33">
        <f>IFERROR(__xludf.DUMMYFUNCTION("""COMPUTED_VALUE"""),6.68E8)</f>
        <v>668000000</v>
      </c>
    </row>
    <row r="628">
      <c r="A628" s="31" t="str">
        <f>IFERROR(__xludf.DUMMYFUNCTION("""COMPUTED_VALUE"""),"Man on a Ledge")</f>
        <v>Man on a Ledge</v>
      </c>
      <c r="B628" s="32">
        <f>IFERROR(__xludf.DUMMYFUNCTION("""COMPUTED_VALUE"""),40935.0)</f>
        <v>40935</v>
      </c>
      <c r="C628" s="33" t="str">
        <f>IFERROR(__xludf.DUMMYFUNCTION("""COMPUTED_VALUE"""),"Drama")</f>
        <v>Drama</v>
      </c>
      <c r="D628" s="33">
        <f>IFERROR(__xludf.DUMMYFUNCTION("""COMPUTED_VALUE"""),4.2E7)</f>
        <v>42000000</v>
      </c>
      <c r="E628" s="33">
        <f>IFERROR(__xludf.DUMMYFUNCTION("""COMPUTED_VALUE"""),4.62E7)</f>
        <v>46200000</v>
      </c>
    </row>
    <row r="629">
      <c r="A629" s="31" t="str">
        <f>IFERROR(__xludf.DUMMYFUNCTION("""COMPUTED_VALUE"""),"Maze Runner: The Scorch Trials")</f>
        <v>Maze Runner: The Scorch Trials</v>
      </c>
      <c r="B629" s="32">
        <f>IFERROR(__xludf.DUMMYFUNCTION("""COMPUTED_VALUE"""),42265.0)</f>
        <v>42265</v>
      </c>
      <c r="C629" s="33" t="str">
        <f>IFERROR(__xludf.DUMMYFUNCTION("""COMPUTED_VALUE"""),"Action")</f>
        <v>Action</v>
      </c>
      <c r="D629" s="33">
        <f>IFERROR(__xludf.DUMMYFUNCTION("""COMPUTED_VALUE"""),6.1E7)</f>
        <v>61000000</v>
      </c>
      <c r="E629" s="33">
        <f>IFERROR(__xludf.DUMMYFUNCTION("""COMPUTED_VALUE"""),3.123E8)</f>
        <v>312300000</v>
      </c>
    </row>
    <row r="630">
      <c r="A630" s="31" t="str">
        <f>IFERROR(__xludf.DUMMYFUNCTION("""COMPUTED_VALUE"""),"Me and Earl and the Dying Girl")</f>
        <v>Me and Earl and the Dying Girl</v>
      </c>
      <c r="B630" s="32">
        <f>IFERROR(__xludf.DUMMYFUNCTION("""COMPUTED_VALUE"""),42029.0)</f>
        <v>42029</v>
      </c>
      <c r="C630" s="33" t="str">
        <f>IFERROR(__xludf.DUMMYFUNCTION("""COMPUTED_VALUE"""),"Drama")</f>
        <v>Drama</v>
      </c>
      <c r="D630" s="33">
        <f>IFERROR(__xludf.DUMMYFUNCTION("""COMPUTED_VALUE"""),8000000.0)</f>
        <v>8000000</v>
      </c>
      <c r="E630" s="33">
        <f>IFERROR(__xludf.DUMMYFUNCTION("""COMPUTED_VALUE"""),9100000.0)</f>
        <v>9100000</v>
      </c>
    </row>
    <row r="631">
      <c r="A631" s="31" t="str">
        <f>IFERROR(__xludf.DUMMYFUNCTION("""COMPUTED_VALUE"""),"Me Before You")</f>
        <v>Me Before You</v>
      </c>
      <c r="B631" s="32">
        <f>IFERROR(__xludf.DUMMYFUNCTION("""COMPUTED_VALUE"""),42524.0)</f>
        <v>42524</v>
      </c>
      <c r="C631" s="33" t="str">
        <f>IFERROR(__xludf.DUMMYFUNCTION("""COMPUTED_VALUE"""),"Romance")</f>
        <v>Romance</v>
      </c>
      <c r="D631" s="33">
        <f>IFERROR(__xludf.DUMMYFUNCTION("""COMPUTED_VALUE"""),2.0E7)</f>
        <v>20000000</v>
      </c>
      <c r="E631" s="33">
        <f>IFERROR(__xludf.DUMMYFUNCTION("""COMPUTED_VALUE"""),1.962E8)</f>
        <v>196200000</v>
      </c>
    </row>
    <row r="632">
      <c r="A632" s="31" t="str">
        <f>IFERROR(__xludf.DUMMYFUNCTION("""COMPUTED_VALUE"""),"Men in Black 3")</f>
        <v>Men in Black 3</v>
      </c>
      <c r="B632" s="32">
        <f>IFERROR(__xludf.DUMMYFUNCTION("""COMPUTED_VALUE"""),41054.0)</f>
        <v>41054</v>
      </c>
      <c r="C632" s="33" t="str">
        <f>IFERROR(__xludf.DUMMYFUNCTION("""COMPUTED_VALUE"""),"Fantasy")</f>
        <v>Fantasy</v>
      </c>
      <c r="D632" s="33">
        <f>IFERROR(__xludf.DUMMYFUNCTION("""COMPUTED_VALUE"""),2.15E8)</f>
        <v>215000000</v>
      </c>
      <c r="E632" s="33">
        <f>IFERROR(__xludf.DUMMYFUNCTION("""COMPUTED_VALUE"""),6.24E8)</f>
        <v>624000000</v>
      </c>
    </row>
    <row r="633">
      <c r="A633" s="31" t="str">
        <f>IFERROR(__xludf.DUMMYFUNCTION("""COMPUTED_VALUE"""),"Mirror Mirror")</f>
        <v>Mirror Mirror</v>
      </c>
      <c r="B633" s="32">
        <f>IFERROR(__xludf.DUMMYFUNCTION("""COMPUTED_VALUE"""),40998.0)</f>
        <v>40998</v>
      </c>
      <c r="C633" s="33" t="str">
        <f>IFERROR(__xludf.DUMMYFUNCTION("""COMPUTED_VALUE"""),"Adventure")</f>
        <v>Adventure</v>
      </c>
      <c r="D633" s="33">
        <f>IFERROR(__xludf.DUMMYFUNCTION("""COMPUTED_VALUE"""),8.5E7)</f>
        <v>85000000</v>
      </c>
      <c r="E633" s="33">
        <f>IFERROR(__xludf.DUMMYFUNCTION("""COMPUTED_VALUE"""),1.83E8)</f>
        <v>183000000</v>
      </c>
    </row>
    <row r="634">
      <c r="A634" s="31" t="str">
        <f>IFERROR(__xludf.DUMMYFUNCTION("""COMPUTED_VALUE"""),"Moms' Night Out")</f>
        <v>Moms' Night Out</v>
      </c>
      <c r="B634" s="32">
        <f>IFERROR(__xludf.DUMMYFUNCTION("""COMPUTED_VALUE"""),41768.0)</f>
        <v>41768</v>
      </c>
      <c r="C634" s="33" t="str">
        <f>IFERROR(__xludf.DUMMYFUNCTION("""COMPUTED_VALUE"""),"Comedy")</f>
        <v>Comedy</v>
      </c>
      <c r="D634" s="33">
        <f>IFERROR(__xludf.DUMMYFUNCTION("""COMPUTED_VALUE"""),5000000.0)</f>
        <v>5000000</v>
      </c>
      <c r="E634" s="33">
        <f>IFERROR(__xludf.DUMMYFUNCTION("""COMPUTED_VALUE"""),1.05E7)</f>
        <v>10500000</v>
      </c>
    </row>
    <row r="635">
      <c r="A635" s="31" t="str">
        <f>IFERROR(__xludf.DUMMYFUNCTION("""COMPUTED_VALUE"""),"Monster Hunt")</f>
        <v>Monster Hunt</v>
      </c>
      <c r="B635" s="32">
        <f>IFERROR(__xludf.DUMMYFUNCTION("""COMPUTED_VALUE"""),42391.0)</f>
        <v>42391</v>
      </c>
      <c r="C635" s="33" t="str">
        <f>IFERROR(__xludf.DUMMYFUNCTION("""COMPUTED_VALUE"""),"Comedy")</f>
        <v>Comedy</v>
      </c>
      <c r="D635" s="33">
        <f>IFERROR(__xludf.DUMMYFUNCTION("""COMPUTED_VALUE"""),5.6E7)</f>
        <v>56000000</v>
      </c>
      <c r="E635" s="33">
        <f>IFERROR(__xludf.DUMMYFUNCTION("""COMPUTED_VALUE"""),3.852E8)</f>
        <v>385200000</v>
      </c>
    </row>
    <row r="636">
      <c r="A636" s="31" t="str">
        <f>IFERROR(__xludf.DUMMYFUNCTION("""COMPUTED_VALUE"""),"Moonrise Kingdom ₪")</f>
        <v>Moonrise Kingdom ₪</v>
      </c>
      <c r="B636" s="32">
        <f>IFERROR(__xludf.DUMMYFUNCTION("""COMPUTED_VALUE"""),41054.0)</f>
        <v>41054</v>
      </c>
      <c r="C636" s="33" t="str">
        <f>IFERROR(__xludf.DUMMYFUNCTION("""COMPUTED_VALUE"""),"Romance")</f>
        <v>Romance</v>
      </c>
      <c r="D636" s="33">
        <f>IFERROR(__xludf.DUMMYFUNCTION("""COMPUTED_VALUE"""),1.6E7)</f>
        <v>16000000</v>
      </c>
      <c r="E636" s="33">
        <f>IFERROR(__xludf.DUMMYFUNCTION("""COMPUTED_VALUE"""),6.83E7)</f>
        <v>68300000</v>
      </c>
    </row>
    <row r="637">
      <c r="A637" s="31" t="str">
        <f>IFERROR(__xludf.DUMMYFUNCTION("""COMPUTED_VALUE"""),"Mortdecai")</f>
        <v>Mortdecai</v>
      </c>
      <c r="B637" s="32">
        <f>IFERROR(__xludf.DUMMYFUNCTION("""COMPUTED_VALUE"""),42027.0)</f>
        <v>42027</v>
      </c>
      <c r="C637" s="33" t="str">
        <f>IFERROR(__xludf.DUMMYFUNCTION("""COMPUTED_VALUE"""),"Comedy")</f>
        <v>Comedy</v>
      </c>
      <c r="D637" s="33">
        <f>IFERROR(__xludf.DUMMYFUNCTION("""COMPUTED_VALUE"""),6.0E7)</f>
        <v>60000000</v>
      </c>
      <c r="E637" s="33">
        <f>IFERROR(__xludf.DUMMYFUNCTION("""COMPUTED_VALUE"""),4.7E7)</f>
        <v>47000000</v>
      </c>
    </row>
    <row r="638">
      <c r="A638" s="31" t="str">
        <f>IFERROR(__xludf.DUMMYFUNCTION("""COMPUTED_VALUE"""),"Mother's Day")</f>
        <v>Mother's Day</v>
      </c>
      <c r="B638" s="32">
        <f>IFERROR(__xludf.DUMMYFUNCTION("""COMPUTED_VALUE"""),42473.0)</f>
        <v>42473</v>
      </c>
      <c r="C638" s="33" t="str">
        <f>IFERROR(__xludf.DUMMYFUNCTION("""COMPUTED_VALUE"""),"Drama")</f>
        <v>Drama</v>
      </c>
      <c r="D638" s="33">
        <f>IFERROR(__xludf.DUMMYFUNCTION("""COMPUTED_VALUE"""),2.5E7)</f>
        <v>25000000</v>
      </c>
      <c r="E638" s="33">
        <f>IFERROR(__xludf.DUMMYFUNCTION("""COMPUTED_VALUE"""),4.38E7)</f>
        <v>43800000</v>
      </c>
    </row>
    <row r="639">
      <c r="A639" s="31" t="str">
        <f>IFERROR(__xludf.DUMMYFUNCTION("""COMPUTED_VALUE"""),"My All American")</f>
        <v>My All American</v>
      </c>
      <c r="B639" s="32">
        <f>IFERROR(__xludf.DUMMYFUNCTION("""COMPUTED_VALUE"""),42321.0)</f>
        <v>42321</v>
      </c>
      <c r="C639" s="33" t="str">
        <f>IFERROR(__xludf.DUMMYFUNCTION("""COMPUTED_VALUE"""),"Sports")</f>
        <v>Sports</v>
      </c>
      <c r="D639" s="33">
        <f>IFERROR(__xludf.DUMMYFUNCTION("""COMPUTED_VALUE"""),2.0E7)</f>
        <v>20000000</v>
      </c>
      <c r="E639" s="33">
        <f>IFERROR(__xludf.DUMMYFUNCTION("""COMPUTED_VALUE"""),2200000.0)</f>
        <v>2200000</v>
      </c>
    </row>
    <row r="640">
      <c r="A640" s="31" t="str">
        <f>IFERROR(__xludf.DUMMYFUNCTION("""COMPUTED_VALUE"""),"My Big Fat Greek Wedding 2")</f>
        <v>My Big Fat Greek Wedding 2</v>
      </c>
      <c r="B640" s="32">
        <f>IFERROR(__xludf.DUMMYFUNCTION("""COMPUTED_VALUE"""),42454.0)</f>
        <v>42454</v>
      </c>
      <c r="C640" s="33" t="str">
        <f>IFERROR(__xludf.DUMMYFUNCTION("""COMPUTED_VALUE"""),"Comedy")</f>
        <v>Comedy</v>
      </c>
      <c r="D640" s="33">
        <f>IFERROR(__xludf.DUMMYFUNCTION("""COMPUTED_VALUE"""),1.8E7)</f>
        <v>18000000</v>
      </c>
      <c r="E640" s="33">
        <f>IFERROR(__xludf.DUMMYFUNCTION("""COMPUTED_VALUE"""),8.89E7)</f>
        <v>88900000</v>
      </c>
    </row>
    <row r="641">
      <c r="A641" s="31" t="str">
        <f>IFERROR(__xludf.DUMMYFUNCTION("""COMPUTED_VALUE"""),"No Escape")</f>
        <v>No Escape</v>
      </c>
      <c r="B641" s="32">
        <f>IFERROR(__xludf.DUMMYFUNCTION("""COMPUTED_VALUE"""),42233.0)</f>
        <v>42233</v>
      </c>
      <c r="C641" s="33" t="str">
        <f>IFERROR(__xludf.DUMMYFUNCTION("""COMPUTED_VALUE"""),"Thriller")</f>
        <v>Thriller</v>
      </c>
      <c r="D641" s="33">
        <f>IFERROR(__xludf.DUMMYFUNCTION("""COMPUTED_VALUE"""),5000000.0)</f>
        <v>5000000</v>
      </c>
      <c r="E641" s="33">
        <f>IFERROR(__xludf.DUMMYFUNCTION("""COMPUTED_VALUE"""),5.44E7)</f>
        <v>54400000</v>
      </c>
    </row>
    <row r="642">
      <c r="A642" s="31" t="str">
        <f>IFERROR(__xludf.DUMMYFUNCTION("""COMPUTED_VALUE"""),"Noah")</f>
        <v>Noah</v>
      </c>
      <c r="B642" s="32">
        <f>IFERROR(__xludf.DUMMYFUNCTION("""COMPUTED_VALUE"""),41708.0)</f>
        <v>41708</v>
      </c>
      <c r="C642" s="33" t="str">
        <f>IFERROR(__xludf.DUMMYFUNCTION("""COMPUTED_VALUE"""),"Drama")</f>
        <v>Drama</v>
      </c>
      <c r="D642" s="33">
        <f>IFERROR(__xludf.DUMMYFUNCTION("""COMPUTED_VALUE"""),1.25E8)</f>
        <v>125000000</v>
      </c>
      <c r="E642" s="33">
        <f>IFERROR(__xludf.DUMMYFUNCTION("""COMPUTED_VALUE"""),3.626E8)</f>
        <v>362600000</v>
      </c>
    </row>
    <row r="643">
      <c r="A643" s="31" t="str">
        <f>IFERROR(__xludf.DUMMYFUNCTION("""COMPUTED_VALUE"""),"Oblivion")</f>
        <v>Oblivion</v>
      </c>
      <c r="B643" s="32">
        <f>IFERROR(__xludf.DUMMYFUNCTION("""COMPUTED_VALUE"""),41374.0)</f>
        <v>41374</v>
      </c>
      <c r="C643" s="33" t="str">
        <f>IFERROR(__xludf.DUMMYFUNCTION("""COMPUTED_VALUE"""),"Sci-Fi")</f>
        <v>Sci-Fi</v>
      </c>
      <c r="D643" s="33">
        <f>IFERROR(__xludf.DUMMYFUNCTION("""COMPUTED_VALUE"""),1.2E8)</f>
        <v>120000000</v>
      </c>
      <c r="E643" s="33">
        <f>IFERROR(__xludf.DUMMYFUNCTION("""COMPUTED_VALUE"""),2.862E8)</f>
        <v>286200000</v>
      </c>
    </row>
    <row r="644">
      <c r="A644" s="31" t="str">
        <f>IFERROR(__xludf.DUMMYFUNCTION("""COMPUTED_VALUE"""),"One Direction: This Is Us")</f>
        <v>One Direction: This Is Us</v>
      </c>
      <c r="B644" s="32">
        <f>IFERROR(__xludf.DUMMYFUNCTION("""COMPUTED_VALUE"""),41515.0)</f>
        <v>41515</v>
      </c>
      <c r="C644" s="33" t="str">
        <f>IFERROR(__xludf.DUMMYFUNCTION("""COMPUTED_VALUE"""),"Musical")</f>
        <v>Musical</v>
      </c>
      <c r="D644" s="33">
        <f>IFERROR(__xludf.DUMMYFUNCTION("""COMPUTED_VALUE"""),1.0E7)</f>
        <v>10000000</v>
      </c>
      <c r="E644" s="33">
        <f>IFERROR(__xludf.DUMMYFUNCTION("""COMPUTED_VALUE"""),6.85E7)</f>
        <v>68500000</v>
      </c>
    </row>
    <row r="645">
      <c r="A645" s="31" t="str">
        <f>IFERROR(__xludf.DUMMYFUNCTION("""COMPUTED_VALUE"""),"One for the Money")</f>
        <v>One for the Money</v>
      </c>
      <c r="B645" s="32">
        <f>IFERROR(__xludf.DUMMYFUNCTION("""COMPUTED_VALUE"""),40935.0)</f>
        <v>40935</v>
      </c>
      <c r="C645" s="33" t="str">
        <f>IFERROR(__xludf.DUMMYFUNCTION("""COMPUTED_VALUE"""),"Romance")</f>
        <v>Romance</v>
      </c>
      <c r="D645" s="33">
        <f>IFERROR(__xludf.DUMMYFUNCTION("""COMPUTED_VALUE"""),4.0E7)</f>
        <v>40000000</v>
      </c>
      <c r="E645" s="33">
        <f>IFERROR(__xludf.DUMMYFUNCTION("""COMPUTED_VALUE"""),3.69E7)</f>
        <v>36900000</v>
      </c>
    </row>
    <row r="646">
      <c r="A646" s="31" t="str">
        <f>IFERROR(__xludf.DUMMYFUNCTION("""COMPUTED_VALUE"""),"Our Brand Is Crisis")</f>
        <v>Our Brand Is Crisis</v>
      </c>
      <c r="B646" s="32">
        <f>IFERROR(__xludf.DUMMYFUNCTION("""COMPUTED_VALUE"""),42258.0)</f>
        <v>42258</v>
      </c>
      <c r="C646" s="33" t="str">
        <f>IFERROR(__xludf.DUMMYFUNCTION("""COMPUTED_VALUE"""),"Drama")</f>
        <v>Drama</v>
      </c>
      <c r="D646" s="33">
        <f>IFERROR(__xludf.DUMMYFUNCTION("""COMPUTED_VALUE"""),2.8E7)</f>
        <v>28000000</v>
      </c>
      <c r="E646" s="33">
        <f>IFERROR(__xludf.DUMMYFUNCTION("""COMPUTED_VALUE"""),8600000.0)</f>
        <v>8600000</v>
      </c>
    </row>
    <row r="647">
      <c r="A647" s="31" t="str">
        <f>IFERROR(__xludf.DUMMYFUNCTION("""COMPUTED_VALUE"""),"Pacific Rim")</f>
        <v>Pacific Rim</v>
      </c>
      <c r="B647" s="32">
        <f>IFERROR(__xludf.DUMMYFUNCTION("""COMPUTED_VALUE"""),41467.0)</f>
        <v>41467</v>
      </c>
      <c r="C647" s="33" t="str">
        <f>IFERROR(__xludf.DUMMYFUNCTION("""COMPUTED_VALUE"""),"Sci-Fi")</f>
        <v>Sci-Fi</v>
      </c>
      <c r="D647" s="33">
        <f>IFERROR(__xludf.DUMMYFUNCTION("""COMPUTED_VALUE"""),1.9E8)</f>
        <v>190000000</v>
      </c>
      <c r="E647" s="33">
        <f>IFERROR(__xludf.DUMMYFUNCTION("""COMPUTED_VALUE"""),4.11E8)</f>
        <v>411000000</v>
      </c>
    </row>
    <row r="648">
      <c r="A648" s="31" t="str">
        <f>IFERROR(__xludf.DUMMYFUNCTION("""COMPUTED_VALUE"""),"Pain &amp; Gain")</f>
        <v>Pain &amp; Gain</v>
      </c>
      <c r="B648" s="32">
        <f>IFERROR(__xludf.DUMMYFUNCTION("""COMPUTED_VALUE"""),41390.0)</f>
        <v>41390</v>
      </c>
      <c r="C648" s="33" t="str">
        <f>IFERROR(__xludf.DUMMYFUNCTION("""COMPUTED_VALUE"""),"Comedy")</f>
        <v>Comedy</v>
      </c>
      <c r="D648" s="33">
        <f>IFERROR(__xludf.DUMMYFUNCTION("""COMPUTED_VALUE"""),2.6E7)</f>
        <v>26000000</v>
      </c>
      <c r="E648" s="33">
        <f>IFERROR(__xludf.DUMMYFUNCTION("""COMPUTED_VALUE"""),8.62E7)</f>
        <v>86200000</v>
      </c>
    </row>
    <row r="649">
      <c r="A649" s="31" t="str">
        <f>IFERROR(__xludf.DUMMYFUNCTION("""COMPUTED_VALUE"""),"Pan")</f>
        <v>Pan</v>
      </c>
      <c r="B649" s="32">
        <f>IFERROR(__xludf.DUMMYFUNCTION("""COMPUTED_VALUE"""),42277.0)</f>
        <v>42277</v>
      </c>
      <c r="C649" s="33" t="str">
        <f>IFERROR(__xludf.DUMMYFUNCTION("""COMPUTED_VALUE"""),"Adventure")</f>
        <v>Adventure</v>
      </c>
      <c r="D649" s="33">
        <f>IFERROR(__xludf.DUMMYFUNCTION("""COMPUTED_VALUE"""),1.5E8)</f>
        <v>150000000</v>
      </c>
      <c r="E649" s="33">
        <f>IFERROR(__xludf.DUMMYFUNCTION("""COMPUTED_VALUE"""),1.284E8)</f>
        <v>128400000</v>
      </c>
    </row>
    <row r="650">
      <c r="A650" s="31" t="str">
        <f>IFERROR(__xludf.DUMMYFUNCTION("""COMPUTED_VALUE"""),"Paper Towns")</f>
        <v>Paper Towns</v>
      </c>
      <c r="B650" s="32">
        <f>IFERROR(__xludf.DUMMYFUNCTION("""COMPUTED_VALUE"""),42209.0)</f>
        <v>42209</v>
      </c>
      <c r="C650" s="33" t="str">
        <f>IFERROR(__xludf.DUMMYFUNCTION("""COMPUTED_VALUE"""),"Mystery")</f>
        <v>Mystery</v>
      </c>
      <c r="D650" s="33">
        <f>IFERROR(__xludf.DUMMYFUNCTION("""COMPUTED_VALUE"""),1.2E7)</f>
        <v>12000000</v>
      </c>
      <c r="E650" s="33">
        <f>IFERROR(__xludf.DUMMYFUNCTION("""COMPUTED_VALUE"""),8.55E7)</f>
        <v>85500000</v>
      </c>
    </row>
    <row r="651">
      <c r="A651" s="31" t="str">
        <f>IFERROR(__xludf.DUMMYFUNCTION("""COMPUTED_VALUE"""),"Parker")</f>
        <v>Parker</v>
      </c>
      <c r="B651" s="32">
        <f>IFERROR(__xludf.DUMMYFUNCTION("""COMPUTED_VALUE"""),41299.0)</f>
        <v>41299</v>
      </c>
      <c r="C651" s="33" t="str">
        <f>IFERROR(__xludf.DUMMYFUNCTION("""COMPUTED_VALUE"""),"Action")</f>
        <v>Action</v>
      </c>
      <c r="D651" s="33">
        <f>IFERROR(__xludf.DUMMYFUNCTION("""COMPUTED_VALUE"""),3.5E7)</f>
        <v>35000000</v>
      </c>
      <c r="E651" s="33">
        <f>IFERROR(__xludf.DUMMYFUNCTION("""COMPUTED_VALUE"""),4.85E7)</f>
        <v>48500000</v>
      </c>
    </row>
    <row r="652">
      <c r="A652" s="31" t="str">
        <f>IFERROR(__xludf.DUMMYFUNCTION("""COMPUTED_VALUE"""),"Paul Blart: Mall Cop 2")</f>
        <v>Paul Blart: Mall Cop 2</v>
      </c>
      <c r="B652" s="32">
        <f>IFERROR(__xludf.DUMMYFUNCTION("""COMPUTED_VALUE"""),42111.0)</f>
        <v>42111</v>
      </c>
      <c r="C652" s="33" t="str">
        <f>IFERROR(__xludf.DUMMYFUNCTION("""COMPUTED_VALUE"""),"Comedy")</f>
        <v>Comedy</v>
      </c>
      <c r="D652" s="33">
        <f>IFERROR(__xludf.DUMMYFUNCTION("""COMPUTED_VALUE"""),4.0E7)</f>
        <v>40000000</v>
      </c>
      <c r="E652" s="33">
        <f>IFERROR(__xludf.DUMMYFUNCTION("""COMPUTED_VALUE"""),1.076E8)</f>
        <v>107600000</v>
      </c>
    </row>
    <row r="653">
      <c r="A653" s="31" t="str">
        <f>IFERROR(__xludf.DUMMYFUNCTION("""COMPUTED_VALUE"""),"Pawn Sacrifice")</f>
        <v>Pawn Sacrifice</v>
      </c>
      <c r="B653" s="32">
        <f>IFERROR(__xludf.DUMMYFUNCTION("""COMPUTED_VALUE"""),42258.0)</f>
        <v>42258</v>
      </c>
      <c r="C653" s="33" t="str">
        <f>IFERROR(__xludf.DUMMYFUNCTION("""COMPUTED_VALUE"""),"Drama")</f>
        <v>Drama</v>
      </c>
      <c r="D653" s="33">
        <f>IFERROR(__xludf.DUMMYFUNCTION("""COMPUTED_VALUE"""),1.9E7)</f>
        <v>19000000</v>
      </c>
      <c r="E653" s="33">
        <f>IFERROR(__xludf.DUMMYFUNCTION("""COMPUTED_VALUE"""),5400000.0)</f>
        <v>5400000</v>
      </c>
    </row>
    <row r="654">
      <c r="A654" s="31" t="str">
        <f>IFERROR(__xludf.DUMMYFUNCTION("""COMPUTED_VALUE"""),"Percy Jackson: Sea of Monsters")</f>
        <v>Percy Jackson: Sea of Monsters</v>
      </c>
      <c r="B654" s="32">
        <f>IFERROR(__xludf.DUMMYFUNCTION("""COMPUTED_VALUE"""),41493.0)</f>
        <v>41493</v>
      </c>
      <c r="C654" s="33" t="str">
        <f>IFERROR(__xludf.DUMMYFUNCTION("""COMPUTED_VALUE"""),"Fantasy")</f>
        <v>Fantasy</v>
      </c>
      <c r="D654" s="33">
        <f>IFERROR(__xludf.DUMMYFUNCTION("""COMPUTED_VALUE"""),9.0E7)</f>
        <v>90000000</v>
      </c>
      <c r="E654" s="33">
        <f>IFERROR(__xludf.DUMMYFUNCTION("""COMPUTED_VALUE"""),2.022E8)</f>
        <v>202200000</v>
      </c>
    </row>
    <row r="655">
      <c r="A655" s="31" t="str">
        <f>IFERROR(__xludf.DUMMYFUNCTION("""COMPUTED_VALUE"""),"Pitch Perfect")</f>
        <v>Pitch Perfect</v>
      </c>
      <c r="B655" s="32">
        <f>IFERROR(__xludf.DUMMYFUNCTION("""COMPUTED_VALUE"""),41187.0)</f>
        <v>41187</v>
      </c>
      <c r="C655" s="33" t="str">
        <f>IFERROR(__xludf.DUMMYFUNCTION("""COMPUTED_VALUE"""),"Musical")</f>
        <v>Musical</v>
      </c>
      <c r="D655" s="33">
        <f>IFERROR(__xludf.DUMMYFUNCTION("""COMPUTED_VALUE"""),1.7E7)</f>
        <v>17000000</v>
      </c>
      <c r="E655" s="33">
        <f>IFERROR(__xludf.DUMMYFUNCTION("""COMPUTED_VALUE"""),1.154E8)</f>
        <v>115400000</v>
      </c>
    </row>
    <row r="656">
      <c r="A656" s="31" t="str">
        <f>IFERROR(__xludf.DUMMYFUNCTION("""COMPUTED_VALUE"""),"Pixels")</f>
        <v>Pixels</v>
      </c>
      <c r="B656" s="32">
        <f>IFERROR(__xludf.DUMMYFUNCTION("""COMPUTED_VALUE"""),42209.0)</f>
        <v>42209</v>
      </c>
      <c r="C656" s="33" t="str">
        <f>IFERROR(__xludf.DUMMYFUNCTION("""COMPUTED_VALUE"""),"Action")</f>
        <v>Action</v>
      </c>
      <c r="D656" s="33">
        <f>IFERROR(__xludf.DUMMYFUNCTION("""COMPUTED_VALUE"""),1.29E8)</f>
        <v>129000000</v>
      </c>
      <c r="E656" s="33">
        <f>IFERROR(__xludf.DUMMYFUNCTION("""COMPUTED_VALUE"""),2.449E8)</f>
        <v>244900000</v>
      </c>
    </row>
    <row r="657">
      <c r="A657" s="31" t="str">
        <f>IFERROR(__xludf.DUMMYFUNCTION("""COMPUTED_VALUE"""),"Point Break")</f>
        <v>Point Break</v>
      </c>
      <c r="B657" s="32">
        <f>IFERROR(__xludf.DUMMYFUNCTION("""COMPUTED_VALUE"""),42363.0)</f>
        <v>42363</v>
      </c>
      <c r="C657" s="33" t="str">
        <f>IFERROR(__xludf.DUMMYFUNCTION("""COMPUTED_VALUE"""),"Thriller")</f>
        <v>Thriller</v>
      </c>
      <c r="D657" s="33">
        <f>IFERROR(__xludf.DUMMYFUNCTION("""COMPUTED_VALUE"""),1.05E8)</f>
        <v>105000000</v>
      </c>
      <c r="E657" s="33">
        <f>IFERROR(__xludf.DUMMYFUNCTION("""COMPUTED_VALUE"""),1.3369999999999999E8)</f>
        <v>133700000</v>
      </c>
    </row>
    <row r="658">
      <c r="A658" s="31" t="str">
        <f>IFERROR(__xludf.DUMMYFUNCTION("""COMPUTED_VALUE"""),"Pompeii")</f>
        <v>Pompeii</v>
      </c>
      <c r="B658" s="32">
        <f>IFERROR(__xludf.DUMMYFUNCTION("""COMPUTED_VALUE"""),41688.0)</f>
        <v>41688</v>
      </c>
      <c r="C658" s="33" t="str">
        <f>IFERROR(__xludf.DUMMYFUNCTION("""COMPUTED_VALUE"""),"Adventure")</f>
        <v>Adventure</v>
      </c>
      <c r="D658" s="33">
        <f>IFERROR(__xludf.DUMMYFUNCTION("""COMPUTED_VALUE"""),8.0E7)</f>
        <v>80000000</v>
      </c>
      <c r="E658" s="33">
        <f>IFERROR(__xludf.DUMMYFUNCTION("""COMPUTED_VALUE"""),1.178E8)</f>
        <v>117800000</v>
      </c>
    </row>
    <row r="659">
      <c r="A659" s="31" t="str">
        <f>IFERROR(__xludf.DUMMYFUNCTION("""COMPUTED_VALUE"""),"Pride and Prejudice and Zombies")</f>
        <v>Pride and Prejudice and Zombies</v>
      </c>
      <c r="B659" s="32">
        <f>IFERROR(__xludf.DUMMYFUNCTION("""COMPUTED_VALUE"""),42405.0)</f>
        <v>42405</v>
      </c>
      <c r="C659" s="33" t="str">
        <f>IFERROR(__xludf.DUMMYFUNCTION("""COMPUTED_VALUE"""),"Horror")</f>
        <v>Horror</v>
      </c>
      <c r="D659" s="33">
        <f>IFERROR(__xludf.DUMMYFUNCTION("""COMPUTED_VALUE"""),2.8E7)</f>
        <v>28000000</v>
      </c>
      <c r="E659" s="33">
        <f>IFERROR(__xludf.DUMMYFUNCTION("""COMPUTED_VALUE"""),1.6399999999999998E7)</f>
        <v>16400000</v>
      </c>
    </row>
    <row r="660">
      <c r="A660" s="31" t="str">
        <f>IFERROR(__xludf.DUMMYFUNCTION("""COMPUTED_VALUE"""),"Project Almanac")</f>
        <v>Project Almanac</v>
      </c>
      <c r="B660" s="32">
        <f>IFERROR(__xludf.DUMMYFUNCTION("""COMPUTED_VALUE"""),42034.0)</f>
        <v>42034</v>
      </c>
      <c r="C660" s="33" t="str">
        <f>IFERROR(__xludf.DUMMYFUNCTION("""COMPUTED_VALUE"""),"Adventure")</f>
        <v>Adventure</v>
      </c>
      <c r="D660" s="33">
        <f>IFERROR(__xludf.DUMMYFUNCTION("""COMPUTED_VALUE"""),1.2E7)</f>
        <v>12000000</v>
      </c>
      <c r="E660" s="33">
        <f>IFERROR(__xludf.DUMMYFUNCTION("""COMPUTED_VALUE"""),3.3200000000000004E7)</f>
        <v>33200000</v>
      </c>
    </row>
    <row r="661">
      <c r="A661" s="31" t="str">
        <f>IFERROR(__xludf.DUMMYFUNCTION("""COMPUTED_VALUE"""),"Prometheus")</f>
        <v>Prometheus</v>
      </c>
      <c r="B661" s="32">
        <f>IFERROR(__xludf.DUMMYFUNCTION("""COMPUTED_VALUE"""),41068.0)</f>
        <v>41068</v>
      </c>
      <c r="C661" s="33" t="str">
        <f>IFERROR(__xludf.DUMMYFUNCTION("""COMPUTED_VALUE"""),"Horror")</f>
        <v>Horror</v>
      </c>
      <c r="D661" s="33">
        <f>IFERROR(__xludf.DUMMYFUNCTION("""COMPUTED_VALUE"""),1.3E8)</f>
        <v>130000000</v>
      </c>
      <c r="E661" s="33">
        <f>IFERROR(__xludf.DUMMYFUNCTION("""COMPUTED_VALUE"""),4.034E8)</f>
        <v>403400000</v>
      </c>
    </row>
    <row r="662">
      <c r="A662" s="31" t="str">
        <f>IFERROR(__xludf.DUMMYFUNCTION("""COMPUTED_VALUE"""),"R.I.P.D.")</f>
        <v>R.I.P.D.</v>
      </c>
      <c r="B662" s="32">
        <f>IFERROR(__xludf.DUMMYFUNCTION("""COMPUTED_VALUE"""),41474.0)</f>
        <v>41474</v>
      </c>
      <c r="C662" s="33" t="str">
        <f>IFERROR(__xludf.DUMMYFUNCTION("""COMPUTED_VALUE"""),"Comedy")</f>
        <v>Comedy</v>
      </c>
      <c r="D662" s="33">
        <f>IFERROR(__xludf.DUMMYFUNCTION("""COMPUTED_VALUE"""),1.3E8)</f>
        <v>130000000</v>
      </c>
      <c r="E662" s="33">
        <f>IFERROR(__xludf.DUMMYFUNCTION("""COMPUTED_VALUE"""),7.83E7)</f>
        <v>78300000</v>
      </c>
    </row>
    <row r="663">
      <c r="A663" s="31" t="str">
        <f>IFERROR(__xludf.DUMMYFUNCTION("""COMPUTED_VALUE"""),"Race")</f>
        <v>Race</v>
      </c>
      <c r="B663" s="32">
        <f>IFERROR(__xludf.DUMMYFUNCTION("""COMPUTED_VALUE"""),42419.0)</f>
        <v>42419</v>
      </c>
      <c r="C663" s="33" t="str">
        <f>IFERROR(__xludf.DUMMYFUNCTION("""COMPUTED_VALUE"""),"Sports")</f>
        <v>Sports</v>
      </c>
      <c r="D663" s="33">
        <f>IFERROR(__xludf.DUMMYFUNCTION("""COMPUTED_VALUE"""),5000000.0)</f>
        <v>5000000</v>
      </c>
      <c r="E663" s="33">
        <f>IFERROR(__xludf.DUMMYFUNCTION("""COMPUTED_VALUE"""),2.35E7)</f>
        <v>23500000</v>
      </c>
    </row>
    <row r="664">
      <c r="A664" s="31" t="str">
        <f>IFERROR(__xludf.DUMMYFUNCTION("""COMPUTED_VALUE"""),"Raiders of the Lost Ark: The IMAX Experience")</f>
        <v>Raiders of the Lost Ark: The IMAX Experience</v>
      </c>
      <c r="B664" s="32">
        <f>IFERROR(__xludf.DUMMYFUNCTION("""COMPUTED_VALUE"""),41159.0)</f>
        <v>41159</v>
      </c>
      <c r="C664" s="33" t="str">
        <f>IFERROR(__xludf.DUMMYFUNCTION("""COMPUTED_VALUE"""),"Adventure")</f>
        <v>Adventure</v>
      </c>
      <c r="D664" s="33">
        <f>IFERROR(__xludf.DUMMYFUNCTION("""COMPUTED_VALUE"""),1.8E7)</f>
        <v>18000000</v>
      </c>
      <c r="E664" s="33">
        <f>IFERROR(__xludf.DUMMYFUNCTION("""COMPUTED_VALUE"""),3.899E8)</f>
        <v>389900000</v>
      </c>
    </row>
    <row r="665">
      <c r="A665" s="31" t="str">
        <f>IFERROR(__xludf.DUMMYFUNCTION("""COMPUTED_VALUE"""),"Ratchet &amp; Clank")</f>
        <v>Ratchet &amp; Clank</v>
      </c>
      <c r="B665" s="32">
        <f>IFERROR(__xludf.DUMMYFUNCTION("""COMPUTED_VALUE"""),42489.0)</f>
        <v>42489</v>
      </c>
      <c r="C665" s="33" t="str">
        <f>IFERROR(__xludf.DUMMYFUNCTION("""COMPUTED_VALUE"""),"Action")</f>
        <v>Action</v>
      </c>
      <c r="D665" s="33">
        <f>IFERROR(__xludf.DUMMYFUNCTION("""COMPUTED_VALUE"""),2.0E7)</f>
        <v>20000000</v>
      </c>
      <c r="E665" s="33">
        <f>IFERROR(__xludf.DUMMYFUNCTION("""COMPUTED_VALUE"""),1.28E7)</f>
        <v>12800000</v>
      </c>
    </row>
    <row r="666">
      <c r="A666" s="31" t="str">
        <f>IFERROR(__xludf.DUMMYFUNCTION("""COMPUTED_VALUE"""),"RED 2")</f>
        <v>RED 2</v>
      </c>
      <c r="B666" s="32">
        <f>IFERROR(__xludf.DUMMYFUNCTION("""COMPUTED_VALUE"""),41474.0)</f>
        <v>41474</v>
      </c>
      <c r="C666" s="33" t="str">
        <f>IFERROR(__xludf.DUMMYFUNCTION("""COMPUTED_VALUE"""),"Comedy")</f>
        <v>Comedy</v>
      </c>
      <c r="D666" s="33">
        <f>IFERROR(__xludf.DUMMYFUNCTION("""COMPUTED_VALUE"""),8.4E7)</f>
        <v>84000000</v>
      </c>
      <c r="E666" s="33">
        <f>IFERROR(__xludf.DUMMYFUNCTION("""COMPUTED_VALUE"""),1.481E8)</f>
        <v>148100000</v>
      </c>
    </row>
    <row r="667">
      <c r="A667" s="31" t="str">
        <f>IFERROR(__xludf.DUMMYFUNCTION("""COMPUTED_VALUE"""),"Resident Evil: Retribution")</f>
        <v>Resident Evil: Retribution</v>
      </c>
      <c r="B667" s="32">
        <f>IFERROR(__xludf.DUMMYFUNCTION("""COMPUTED_VALUE"""),41166.0)</f>
        <v>41166</v>
      </c>
      <c r="C667" s="33" t="str">
        <f>IFERROR(__xludf.DUMMYFUNCTION("""COMPUTED_VALUE"""),"Horror")</f>
        <v>Horror</v>
      </c>
      <c r="D667" s="33">
        <f>IFERROR(__xludf.DUMMYFUNCTION("""COMPUTED_VALUE"""),6.5E7)</f>
        <v>65000000</v>
      </c>
      <c r="E667" s="33">
        <f>IFERROR(__xludf.DUMMYFUNCTION("""COMPUTED_VALUE"""),2.402E8)</f>
        <v>240200000</v>
      </c>
    </row>
    <row r="668">
      <c r="A668" s="31" t="str">
        <f>IFERROR(__xludf.DUMMYFUNCTION("""COMPUTED_VALUE"""),"Ricki and the Flash")</f>
        <v>Ricki and the Flash</v>
      </c>
      <c r="B668" s="32">
        <f>IFERROR(__xludf.DUMMYFUNCTION("""COMPUTED_VALUE"""),42223.0)</f>
        <v>42223</v>
      </c>
      <c r="C668" s="33" t="str">
        <f>IFERROR(__xludf.DUMMYFUNCTION("""COMPUTED_VALUE"""),"Drama")</f>
        <v>Drama</v>
      </c>
      <c r="D668" s="33">
        <f>IFERROR(__xludf.DUMMYFUNCTION("""COMPUTED_VALUE"""),1.8E7)</f>
        <v>18000000</v>
      </c>
      <c r="E668" s="33">
        <f>IFERROR(__xludf.DUMMYFUNCTION("""COMPUTED_VALUE"""),4.13E7)</f>
        <v>41300000</v>
      </c>
    </row>
    <row r="669">
      <c r="A669" s="31" t="str">
        <f>IFERROR(__xludf.DUMMYFUNCTION("""COMPUTED_VALUE"""),"Riddick")</f>
        <v>Riddick</v>
      </c>
      <c r="B669" s="32">
        <f>IFERROR(__xludf.DUMMYFUNCTION("""COMPUTED_VALUE"""),41523.0)</f>
        <v>41523</v>
      </c>
      <c r="C669" s="33" t="str">
        <f>IFERROR(__xludf.DUMMYFUNCTION("""COMPUTED_VALUE"""),"Sci-Fi")</f>
        <v>Sci-Fi</v>
      </c>
      <c r="D669" s="33">
        <f>IFERROR(__xludf.DUMMYFUNCTION("""COMPUTED_VALUE"""),4.0E7)</f>
        <v>40000000</v>
      </c>
      <c r="E669" s="33">
        <f>IFERROR(__xludf.DUMMYFUNCTION("""COMPUTED_VALUE"""),1.003E8)</f>
        <v>100300000</v>
      </c>
    </row>
    <row r="670">
      <c r="A670" s="31" t="str">
        <f>IFERROR(__xludf.DUMMYFUNCTION("""COMPUTED_VALUE"""),"Ride Along")</f>
        <v>Ride Along</v>
      </c>
      <c r="B670" s="32">
        <f>IFERROR(__xludf.DUMMYFUNCTION("""COMPUTED_VALUE"""),41656.0)</f>
        <v>41656</v>
      </c>
      <c r="C670" s="33" t="str">
        <f>IFERROR(__xludf.DUMMYFUNCTION("""COMPUTED_VALUE"""),"Comedy")</f>
        <v>Comedy</v>
      </c>
      <c r="D670" s="33">
        <f>IFERROR(__xludf.DUMMYFUNCTION("""COMPUTED_VALUE"""),2.5E7)</f>
        <v>25000000</v>
      </c>
      <c r="E670" s="33">
        <f>IFERROR(__xludf.DUMMYFUNCTION("""COMPUTED_VALUE"""),1.545E8)</f>
        <v>154500000</v>
      </c>
    </row>
    <row r="671">
      <c r="A671" s="31" t="str">
        <f>IFERROR(__xludf.DUMMYFUNCTION("""COMPUTED_VALUE"""),"Ride Along 2")</f>
        <v>Ride Along 2</v>
      </c>
      <c r="B671" s="32">
        <f>IFERROR(__xludf.DUMMYFUNCTION("""COMPUTED_VALUE"""),42384.0)</f>
        <v>42384</v>
      </c>
      <c r="C671" s="33" t="str">
        <f>IFERROR(__xludf.DUMMYFUNCTION("""COMPUTED_VALUE"""),"Action")</f>
        <v>Action</v>
      </c>
      <c r="D671" s="33">
        <f>IFERROR(__xludf.DUMMYFUNCTION("""COMPUTED_VALUE"""),4.0E7)</f>
        <v>40000000</v>
      </c>
      <c r="E671" s="33">
        <f>IFERROR(__xludf.DUMMYFUNCTION("""COMPUTED_VALUE"""),1.242E8)</f>
        <v>124200000</v>
      </c>
    </row>
    <row r="672">
      <c r="A672" s="31" t="str">
        <f>IFERROR(__xludf.DUMMYFUNCTION("""COMPUTED_VALUE"""),"RoboCop")</f>
        <v>RoboCop</v>
      </c>
      <c r="B672" s="32">
        <f>IFERROR(__xludf.DUMMYFUNCTION("""COMPUTED_VALUE"""),41669.0)</f>
        <v>41669</v>
      </c>
      <c r="C672" s="33" t="str">
        <f>IFERROR(__xludf.DUMMYFUNCTION("""COMPUTED_VALUE"""),"Adventure")</f>
        <v>Adventure</v>
      </c>
      <c r="D672" s="33">
        <f>IFERROR(__xludf.DUMMYFUNCTION("""COMPUTED_VALUE"""),1.0E8)</f>
        <v>100000000</v>
      </c>
      <c r="E672" s="33">
        <f>IFERROR(__xludf.DUMMYFUNCTION("""COMPUTED_VALUE"""),2.427E8)</f>
        <v>242700000</v>
      </c>
    </row>
    <row r="673">
      <c r="A673" s="31" t="str">
        <f>IFERROR(__xludf.DUMMYFUNCTION("""COMPUTED_VALUE"""),"Robot &amp; Frank")</f>
        <v>Robot &amp; Frank</v>
      </c>
      <c r="B673" s="32">
        <f>IFERROR(__xludf.DUMMYFUNCTION("""COMPUTED_VALUE"""),41138.0)</f>
        <v>41138</v>
      </c>
      <c r="C673" s="33" t="str">
        <f>IFERROR(__xludf.DUMMYFUNCTION("""COMPUTED_VALUE"""),"Drama")</f>
        <v>Drama</v>
      </c>
      <c r="D673" s="33">
        <f>IFERROR(__xludf.DUMMYFUNCTION("""COMPUTED_VALUE"""),2500000.0)</f>
        <v>2500000</v>
      </c>
      <c r="E673" s="33">
        <f>IFERROR(__xludf.DUMMYFUNCTION("""COMPUTED_VALUE"""),4900000.0)</f>
        <v>4900000</v>
      </c>
    </row>
    <row r="674">
      <c r="A674" s="31" t="str">
        <f>IFERROR(__xludf.DUMMYFUNCTION("""COMPUTED_VALUE"""),"Rock of Ages")</f>
        <v>Rock of Ages</v>
      </c>
      <c r="B674" s="32">
        <f>IFERROR(__xludf.DUMMYFUNCTION("""COMPUTED_VALUE"""),41075.0)</f>
        <v>41075</v>
      </c>
      <c r="C674" s="33" t="str">
        <f>IFERROR(__xludf.DUMMYFUNCTION("""COMPUTED_VALUE"""),"Drama")</f>
        <v>Drama</v>
      </c>
      <c r="D674" s="33">
        <f>IFERROR(__xludf.DUMMYFUNCTION("""COMPUTED_VALUE"""),7.5E7)</f>
        <v>75000000</v>
      </c>
      <c r="E674" s="33">
        <f>IFERROR(__xludf.DUMMYFUNCTION("""COMPUTED_VALUE"""),5.94E7)</f>
        <v>59400000</v>
      </c>
    </row>
    <row r="675">
      <c r="A675" s="31" t="str">
        <f>IFERROR(__xludf.DUMMYFUNCTION("""COMPUTED_VALUE"""),"Room")</f>
        <v>Room</v>
      </c>
      <c r="B675" s="32">
        <f>IFERROR(__xludf.DUMMYFUNCTION("""COMPUTED_VALUE"""),42251.0)</f>
        <v>42251</v>
      </c>
      <c r="C675" s="33" t="str">
        <f>IFERROR(__xludf.DUMMYFUNCTION("""COMPUTED_VALUE"""),"Thriller")</f>
        <v>Thriller</v>
      </c>
      <c r="D675" s="33">
        <f>IFERROR(__xludf.DUMMYFUNCTION("""COMPUTED_VALUE"""),1.3E7)</f>
        <v>13000000</v>
      </c>
      <c r="E675" s="33">
        <f>IFERROR(__xludf.DUMMYFUNCTION("""COMPUTED_VALUE"""),3.6E7)</f>
        <v>36000000</v>
      </c>
    </row>
    <row r="676">
      <c r="A676" s="31" t="str">
        <f>IFERROR(__xludf.DUMMYFUNCTION("""COMPUTED_VALUE"""),"Salmon Fishing in the Yemen")</f>
        <v>Salmon Fishing in the Yemen</v>
      </c>
      <c r="B676" s="32">
        <f>IFERROR(__xludf.DUMMYFUNCTION("""COMPUTED_VALUE"""),40977.0)</f>
        <v>40977</v>
      </c>
      <c r="C676" s="33" t="str">
        <f>IFERROR(__xludf.DUMMYFUNCTION("""COMPUTED_VALUE"""),"Romance")</f>
        <v>Romance</v>
      </c>
      <c r="D676" s="33">
        <f>IFERROR(__xludf.DUMMYFUNCTION("""COMPUTED_VALUE"""),1.44E7)</f>
        <v>14400000</v>
      </c>
      <c r="E676" s="33">
        <f>IFERROR(__xludf.DUMMYFUNCTION("""COMPUTED_VALUE"""),3.46E7)</f>
        <v>34600000</v>
      </c>
    </row>
    <row r="677">
      <c r="A677" s="31" t="str">
        <f>IFERROR(__xludf.DUMMYFUNCTION("""COMPUTED_VALUE"""),"Savages")</f>
        <v>Savages</v>
      </c>
      <c r="B677" s="32">
        <f>IFERROR(__xludf.DUMMYFUNCTION("""COMPUTED_VALUE"""),41096.0)</f>
        <v>41096</v>
      </c>
      <c r="C677" s="33" t="str">
        <f>IFERROR(__xludf.DUMMYFUNCTION("""COMPUTED_VALUE"""),"Drama")</f>
        <v>Drama</v>
      </c>
      <c r="D677" s="33">
        <f>IFERROR(__xludf.DUMMYFUNCTION("""COMPUTED_VALUE"""),4.5E7)</f>
        <v>45000000</v>
      </c>
      <c r="E677" s="33">
        <f>IFERROR(__xludf.DUMMYFUNCTION("""COMPUTED_VALUE"""),8.3E7)</f>
        <v>83000000</v>
      </c>
    </row>
    <row r="678">
      <c r="A678" s="31" t="str">
        <f>IFERROR(__xludf.DUMMYFUNCTION("""COMPUTED_VALUE"""),"Scary Movie 5")</f>
        <v>Scary Movie 5</v>
      </c>
      <c r="B678" s="32">
        <f>IFERROR(__xludf.DUMMYFUNCTION("""COMPUTED_VALUE"""),41376.0)</f>
        <v>41376</v>
      </c>
      <c r="C678" s="33" t="str">
        <f>IFERROR(__xludf.DUMMYFUNCTION("""COMPUTED_VALUE"""),"Horror")</f>
        <v>Horror</v>
      </c>
      <c r="D678" s="33">
        <f>IFERROR(__xludf.DUMMYFUNCTION("""COMPUTED_VALUE"""),2.0E7)</f>
        <v>20000000</v>
      </c>
      <c r="E678" s="33">
        <f>IFERROR(__xludf.DUMMYFUNCTION("""COMPUTED_VALUE"""),7.84E7)</f>
        <v>78400000</v>
      </c>
    </row>
    <row r="679">
      <c r="A679" s="31" t="str">
        <f>IFERROR(__xludf.DUMMYFUNCTION("""COMPUTED_VALUE"""),"Secret in Their Eyes")</f>
        <v>Secret in Their Eyes</v>
      </c>
      <c r="B679" s="32">
        <f>IFERROR(__xludf.DUMMYFUNCTION("""COMPUTED_VALUE"""),42328.0)</f>
        <v>42328</v>
      </c>
      <c r="C679" s="33" t="str">
        <f>IFERROR(__xludf.DUMMYFUNCTION("""COMPUTED_VALUE"""),"Thriller")</f>
        <v>Thriller</v>
      </c>
      <c r="D679" s="33">
        <f>IFERROR(__xludf.DUMMYFUNCTION("""COMPUTED_VALUE"""),1.95E7)</f>
        <v>19500000</v>
      </c>
      <c r="E679" s="33">
        <f>IFERROR(__xludf.DUMMYFUNCTION("""COMPUTED_VALUE"""),3.2200000000000004E7)</f>
        <v>32200000</v>
      </c>
    </row>
    <row r="680">
      <c r="A680" s="31" t="str">
        <f>IFERROR(__xludf.DUMMYFUNCTION("""COMPUTED_VALUE"""),"Self/less")</f>
        <v>Self/less</v>
      </c>
      <c r="B680" s="32">
        <f>IFERROR(__xludf.DUMMYFUNCTION("""COMPUTED_VALUE"""),42195.0)</f>
        <v>42195</v>
      </c>
      <c r="C680" s="33" t="str">
        <f>IFERROR(__xludf.DUMMYFUNCTION("""COMPUTED_VALUE"""),"Sci-Fi")</f>
        <v>Sci-Fi</v>
      </c>
      <c r="D680" s="33">
        <f>IFERROR(__xludf.DUMMYFUNCTION("""COMPUTED_VALUE"""),2.6E7)</f>
        <v>26000000</v>
      </c>
      <c r="E680" s="33">
        <f>IFERROR(__xludf.DUMMYFUNCTION("""COMPUTED_VALUE"""),3.05E7)</f>
        <v>30500000</v>
      </c>
    </row>
    <row r="681">
      <c r="A681" s="31" t="str">
        <f>IFERROR(__xludf.DUMMYFUNCTION("""COMPUTED_VALUE"""),"Shaun the Sheep Movie")</f>
        <v>Shaun the Sheep Movie</v>
      </c>
      <c r="B681" s="32">
        <f>IFERROR(__xludf.DUMMYFUNCTION("""COMPUTED_VALUE"""),42028.0)</f>
        <v>42028</v>
      </c>
      <c r="C681" s="33" t="str">
        <f>IFERROR(__xludf.DUMMYFUNCTION("""COMPUTED_VALUE"""),"Comedy")</f>
        <v>Comedy</v>
      </c>
      <c r="D681" s="33">
        <f>IFERROR(__xludf.DUMMYFUNCTION("""COMPUTED_VALUE"""),2.5E7)</f>
        <v>25000000</v>
      </c>
      <c r="E681" s="33">
        <f>IFERROR(__xludf.DUMMYFUNCTION("""COMPUTED_VALUE"""),1.06E8)</f>
        <v>106000000</v>
      </c>
    </row>
    <row r="682">
      <c r="A682" s="31" t="str">
        <f>IFERROR(__xludf.DUMMYFUNCTION("""COMPUTED_VALUE"""),"Sicario")</f>
        <v>Sicario</v>
      </c>
      <c r="B682" s="32">
        <f>IFERROR(__xludf.DUMMYFUNCTION("""COMPUTED_VALUE"""),42143.0)</f>
        <v>42143</v>
      </c>
      <c r="C682" s="33" t="str">
        <f>IFERROR(__xludf.DUMMYFUNCTION("""COMPUTED_VALUE"""),"Drama")</f>
        <v>Drama</v>
      </c>
      <c r="D682" s="33">
        <f>IFERROR(__xludf.DUMMYFUNCTION("""COMPUTED_VALUE"""),3.0E7)</f>
        <v>30000000</v>
      </c>
      <c r="E682" s="33">
        <f>IFERROR(__xludf.DUMMYFUNCTION("""COMPUTED_VALUE"""),8.49E7)</f>
        <v>84900000</v>
      </c>
    </row>
    <row r="683">
      <c r="A683" s="31" t="str">
        <f>IFERROR(__xludf.DUMMYFUNCTION("""COMPUTED_VALUE"""),"Sin City: A Dame to Kill For")</f>
        <v>Sin City: A Dame to Kill For</v>
      </c>
      <c r="B683" s="32">
        <f>IFERROR(__xludf.DUMMYFUNCTION("""COMPUTED_VALUE"""),41870.0)</f>
        <v>41870</v>
      </c>
      <c r="C683" s="33" t="str">
        <f>IFERROR(__xludf.DUMMYFUNCTION("""COMPUTED_VALUE"""),"Thriller")</f>
        <v>Thriller</v>
      </c>
      <c r="D683" s="33">
        <f>IFERROR(__xludf.DUMMYFUNCTION("""COMPUTED_VALUE"""),6.5E7)</f>
        <v>65000000</v>
      </c>
      <c r="E683" s="33">
        <f>IFERROR(__xludf.DUMMYFUNCTION("""COMPUTED_VALUE"""),3.94E7)</f>
        <v>39400000</v>
      </c>
    </row>
    <row r="684">
      <c r="A684" s="31" t="str">
        <f>IFERROR(__xludf.DUMMYFUNCTION("""COMPUTED_VALUE"""),"Sinister")</f>
        <v>Sinister</v>
      </c>
      <c r="B684" s="32">
        <f>IFERROR(__xludf.DUMMYFUNCTION("""COMPUTED_VALUE"""),41194.0)</f>
        <v>41194</v>
      </c>
      <c r="C684" s="33" t="str">
        <f>IFERROR(__xludf.DUMMYFUNCTION("""COMPUTED_VALUE"""),"Thriller")</f>
        <v>Thriller</v>
      </c>
      <c r="D684" s="33">
        <f>IFERROR(__xludf.DUMMYFUNCTION("""COMPUTED_VALUE"""),3000000.0)</f>
        <v>3000000</v>
      </c>
      <c r="E684" s="33">
        <f>IFERROR(__xludf.DUMMYFUNCTION("""COMPUTED_VALUE"""),7.77E7)</f>
        <v>77700000</v>
      </c>
    </row>
    <row r="685">
      <c r="A685" s="31" t="str">
        <f>IFERROR(__xludf.DUMMYFUNCTION("""COMPUTED_VALUE"""),"Snow White and the Huntsman")</f>
        <v>Snow White and the Huntsman</v>
      </c>
      <c r="B685" s="32">
        <f>IFERROR(__xludf.DUMMYFUNCTION("""COMPUTED_VALUE"""),41061.0)</f>
        <v>41061</v>
      </c>
      <c r="C685" s="33" t="str">
        <f>IFERROR(__xludf.DUMMYFUNCTION("""COMPUTED_VALUE"""),"Fantasy")</f>
        <v>Fantasy</v>
      </c>
      <c r="D685" s="33">
        <f>IFERROR(__xludf.DUMMYFUNCTION("""COMPUTED_VALUE"""),1.7E8)</f>
        <v>170000000</v>
      </c>
      <c r="E685" s="33">
        <f>IFERROR(__xludf.DUMMYFUNCTION("""COMPUTED_VALUE"""),3.966E8)</f>
        <v>396600000</v>
      </c>
    </row>
    <row r="686">
      <c r="A686" s="31" t="str">
        <f>IFERROR(__xludf.DUMMYFUNCTION("""COMPUTED_VALUE"""),"Spy")</f>
        <v>Spy</v>
      </c>
      <c r="B686" s="32">
        <f>IFERROR(__xludf.DUMMYFUNCTION("""COMPUTED_VALUE"""),42139.0)</f>
        <v>42139</v>
      </c>
      <c r="C686" s="33" t="str">
        <f>IFERROR(__xludf.DUMMYFUNCTION("""COMPUTED_VALUE"""),"Comedy")</f>
        <v>Comedy</v>
      </c>
      <c r="D686" s="33">
        <f>IFERROR(__xludf.DUMMYFUNCTION("""COMPUTED_VALUE"""),6.5E7)</f>
        <v>65000000</v>
      </c>
      <c r="E686" s="33">
        <f>IFERROR(__xludf.DUMMYFUNCTION("""COMPUTED_VALUE"""),2.357E8)</f>
        <v>235700000</v>
      </c>
    </row>
    <row r="687">
      <c r="A687" s="31" t="str">
        <f>IFERROR(__xludf.DUMMYFUNCTION("""COMPUTED_VALUE"""),"Star Trek Beyond")</f>
        <v>Star Trek Beyond</v>
      </c>
      <c r="B687" s="32">
        <f>IFERROR(__xludf.DUMMYFUNCTION("""COMPUTED_VALUE"""),42573.0)</f>
        <v>42573</v>
      </c>
      <c r="C687" s="33" t="str">
        <f>IFERROR(__xludf.DUMMYFUNCTION("""COMPUTED_VALUE"""),"Adventure")</f>
        <v>Adventure</v>
      </c>
      <c r="D687" s="33">
        <f>IFERROR(__xludf.DUMMYFUNCTION("""COMPUTED_VALUE"""),1.85E8)</f>
        <v>185000000</v>
      </c>
      <c r="E687" s="33">
        <f>IFERROR(__xludf.DUMMYFUNCTION("""COMPUTED_VALUE"""),2.43E8)</f>
        <v>243000000</v>
      </c>
    </row>
    <row r="688">
      <c r="A688" s="31" t="str">
        <f>IFERROR(__xludf.DUMMYFUNCTION("""COMPUTED_VALUE"""),"Straight Outta Compton")</f>
        <v>Straight Outta Compton</v>
      </c>
      <c r="B688" s="32">
        <f>IFERROR(__xludf.DUMMYFUNCTION("""COMPUTED_VALUE"""),42227.0)</f>
        <v>42227</v>
      </c>
      <c r="C688" s="33" t="str">
        <f>IFERROR(__xludf.DUMMYFUNCTION("""COMPUTED_VALUE"""),"Drama")</f>
        <v>Drama</v>
      </c>
      <c r="D688" s="33">
        <f>IFERROR(__xludf.DUMMYFUNCTION("""COMPUTED_VALUE"""),5.0E7)</f>
        <v>50000000</v>
      </c>
      <c r="E688" s="33">
        <f>IFERROR(__xludf.DUMMYFUNCTION("""COMPUTED_VALUE"""),2.016E8)</f>
        <v>201600000</v>
      </c>
    </row>
    <row r="689">
      <c r="A689" s="31" t="str">
        <f>IFERROR(__xludf.DUMMYFUNCTION("""COMPUTED_VALUE"""),"Taken 2")</f>
        <v>Taken 2</v>
      </c>
      <c r="B689" s="32">
        <f>IFERROR(__xludf.DUMMYFUNCTION("""COMPUTED_VALUE"""),41187.0)</f>
        <v>41187</v>
      </c>
      <c r="C689" s="33" t="str">
        <f>IFERROR(__xludf.DUMMYFUNCTION("""COMPUTED_VALUE"""),"Thriller")</f>
        <v>Thriller</v>
      </c>
      <c r="D689" s="33">
        <f>IFERROR(__xludf.DUMMYFUNCTION("""COMPUTED_VALUE"""),4.3E7)</f>
        <v>43000000</v>
      </c>
      <c r="E689" s="33">
        <f>IFERROR(__xludf.DUMMYFUNCTION("""COMPUTED_VALUE"""),3.761E8)</f>
        <v>376100000</v>
      </c>
    </row>
    <row r="690">
      <c r="A690" s="31" t="str">
        <f>IFERROR(__xludf.DUMMYFUNCTION("""COMPUTED_VALUE"""),"Teenage Mutant Ninja Turtles")</f>
        <v>Teenage Mutant Ninja Turtles</v>
      </c>
      <c r="B690" s="32">
        <f>IFERROR(__xludf.DUMMYFUNCTION("""COMPUTED_VALUE"""),41849.0)</f>
        <v>41849</v>
      </c>
      <c r="C690" s="33" t="str">
        <f>IFERROR(__xludf.DUMMYFUNCTION("""COMPUTED_VALUE"""),"Comedy")</f>
        <v>Comedy</v>
      </c>
      <c r="D690" s="33">
        <f>IFERROR(__xludf.DUMMYFUNCTION("""COMPUTED_VALUE"""),1.25E8)</f>
        <v>125000000</v>
      </c>
      <c r="E690" s="33">
        <f>IFERROR(__xludf.DUMMYFUNCTION("""COMPUTED_VALUE"""),4.933E8)</f>
        <v>493300000</v>
      </c>
    </row>
    <row r="691">
      <c r="A691" s="31" t="str">
        <f>IFERROR(__xludf.DUMMYFUNCTION("""COMPUTED_VALUE"""),"Terminator Genisys")</f>
        <v>Terminator Genisys</v>
      </c>
      <c r="B691" s="32">
        <f>IFERROR(__xludf.DUMMYFUNCTION("""COMPUTED_VALUE"""),42177.0)</f>
        <v>42177</v>
      </c>
      <c r="C691" s="33" t="str">
        <f>IFERROR(__xludf.DUMMYFUNCTION("""COMPUTED_VALUE"""),"Action")</f>
        <v>Action</v>
      </c>
      <c r="D691" s="33">
        <f>IFERROR(__xludf.DUMMYFUNCTION("""COMPUTED_VALUE"""),1.55E8)</f>
        <v>155000000</v>
      </c>
      <c r="E691" s="33">
        <f>IFERROR(__xludf.DUMMYFUNCTION("""COMPUTED_VALUE"""),4.406E8)</f>
        <v>440600000</v>
      </c>
    </row>
    <row r="692">
      <c r="A692" s="31" t="str">
        <f>IFERROR(__xludf.DUMMYFUNCTION("""COMPUTED_VALUE"""),"That Awkward Moment")</f>
        <v>That Awkward Moment</v>
      </c>
      <c r="B692" s="32">
        <f>IFERROR(__xludf.DUMMYFUNCTION("""COMPUTED_VALUE"""),41666.0)</f>
        <v>41666</v>
      </c>
      <c r="C692" s="33" t="str">
        <f>IFERROR(__xludf.DUMMYFUNCTION("""COMPUTED_VALUE"""),"Romance")</f>
        <v>Romance</v>
      </c>
      <c r="D692" s="33">
        <f>IFERROR(__xludf.DUMMYFUNCTION("""COMPUTED_VALUE"""),8000000.0)</f>
        <v>8000000</v>
      </c>
      <c r="E692" s="33">
        <f>IFERROR(__xludf.DUMMYFUNCTION("""COMPUTED_VALUE"""),4.05E7)</f>
        <v>40500000</v>
      </c>
    </row>
    <row r="693">
      <c r="A693" s="31" t="str">
        <f>IFERROR(__xludf.DUMMYFUNCTION("""COMPUTED_VALUE"""),"The 5th Wave")</f>
        <v>The 5th Wave</v>
      </c>
      <c r="B693" s="32">
        <f>IFERROR(__xludf.DUMMYFUNCTION("""COMPUTED_VALUE"""),42391.0)</f>
        <v>42391</v>
      </c>
      <c r="C693" s="33" t="str">
        <f>IFERROR(__xludf.DUMMYFUNCTION("""COMPUTED_VALUE"""),"Adventure")</f>
        <v>Adventure</v>
      </c>
      <c r="D693" s="33">
        <f>IFERROR(__xludf.DUMMYFUNCTION("""COMPUTED_VALUE"""),3.5E7)</f>
        <v>35000000</v>
      </c>
      <c r="E693" s="33">
        <f>IFERROR(__xludf.DUMMYFUNCTION("""COMPUTED_VALUE"""),1.107E8)</f>
        <v>110700000</v>
      </c>
    </row>
    <row r="694">
      <c r="A694" s="31" t="str">
        <f>IFERROR(__xludf.DUMMYFUNCTION("""COMPUTED_VALUE"""),"The Amazing Spider-Man")</f>
        <v>The Amazing Spider-Man</v>
      </c>
      <c r="B694" s="32">
        <f>IFERROR(__xludf.DUMMYFUNCTION("""COMPUTED_VALUE"""),41093.0)</f>
        <v>41093</v>
      </c>
      <c r="C694" s="33" t="str">
        <f>IFERROR(__xludf.DUMMYFUNCTION("""COMPUTED_VALUE"""),"Fantasy")</f>
        <v>Fantasy</v>
      </c>
      <c r="D694" s="33">
        <f>IFERROR(__xludf.DUMMYFUNCTION("""COMPUTED_VALUE"""),2.3E8)</f>
        <v>230000000</v>
      </c>
      <c r="E694" s="33">
        <f>IFERROR(__xludf.DUMMYFUNCTION("""COMPUTED_VALUE"""),7.579E8)</f>
        <v>757900000</v>
      </c>
    </row>
    <row r="695">
      <c r="A695" s="31" t="str">
        <f>IFERROR(__xludf.DUMMYFUNCTION("""COMPUTED_VALUE"""),"The Best Exotic Marigold Hotel ₪")</f>
        <v>The Best Exotic Marigold Hotel ₪</v>
      </c>
      <c r="B695" s="32">
        <f>IFERROR(__xludf.DUMMYFUNCTION("""COMPUTED_VALUE"""),41033.0)</f>
        <v>41033</v>
      </c>
      <c r="C695" s="33" t="str">
        <f>IFERROR(__xludf.DUMMYFUNCTION("""COMPUTED_VALUE"""),"Drama")</f>
        <v>Drama</v>
      </c>
      <c r="D695" s="33">
        <f>IFERROR(__xludf.DUMMYFUNCTION("""COMPUTED_VALUE"""),1.0E7)</f>
        <v>10000000</v>
      </c>
      <c r="E695" s="33">
        <f>IFERROR(__xludf.DUMMYFUNCTION("""COMPUTED_VALUE"""),1.368E8)</f>
        <v>136800000</v>
      </c>
    </row>
    <row r="696">
      <c r="A696" s="31" t="str">
        <f>IFERROR(__xludf.DUMMYFUNCTION("""COMPUTED_VALUE"""),"The Big Short")</f>
        <v>The Big Short</v>
      </c>
      <c r="B696" s="32">
        <f>IFERROR(__xludf.DUMMYFUNCTION("""COMPUTED_VALUE"""),42349.0)</f>
        <v>42349</v>
      </c>
      <c r="C696" s="33" t="str">
        <f>IFERROR(__xludf.DUMMYFUNCTION("""COMPUTED_VALUE"""),"Drama")</f>
        <v>Drama</v>
      </c>
      <c r="D696" s="33">
        <f>IFERROR(__xludf.DUMMYFUNCTION("""COMPUTED_VALUE"""),2.8E7)</f>
        <v>28000000</v>
      </c>
      <c r="E696" s="33">
        <f>IFERROR(__xludf.DUMMYFUNCTION("""COMPUTED_VALUE"""),1.3330000000000001E8)</f>
        <v>133300000</v>
      </c>
    </row>
    <row r="697">
      <c r="A697" s="31" t="str">
        <f>IFERROR(__xludf.DUMMYFUNCTION("""COMPUTED_VALUE"""),"The Bling Ring")</f>
        <v>The Bling Ring</v>
      </c>
      <c r="B697" s="32">
        <f>IFERROR(__xludf.DUMMYFUNCTION("""COMPUTED_VALUE"""),41439.0)</f>
        <v>41439</v>
      </c>
      <c r="C697" s="33" t="str">
        <f>IFERROR(__xludf.DUMMYFUNCTION("""COMPUTED_VALUE"""),"Crime")</f>
        <v>Crime</v>
      </c>
      <c r="D697" s="33">
        <f>IFERROR(__xludf.DUMMYFUNCTION("""COMPUTED_VALUE"""),8000000.0)</f>
        <v>8000000</v>
      </c>
      <c r="E697" s="33">
        <f>IFERROR(__xludf.DUMMYFUNCTION("""COMPUTED_VALUE"""),1.91E7)</f>
        <v>19100000</v>
      </c>
    </row>
    <row r="698">
      <c r="A698" s="31" t="str">
        <f>IFERROR(__xludf.DUMMYFUNCTION("""COMPUTED_VALUE"""),"The Bourne Legacy")</f>
        <v>The Bourne Legacy</v>
      </c>
      <c r="B698" s="32">
        <f>IFERROR(__xludf.DUMMYFUNCTION("""COMPUTED_VALUE"""),41131.0)</f>
        <v>41131</v>
      </c>
      <c r="C698" s="33" t="str">
        <f>IFERROR(__xludf.DUMMYFUNCTION("""COMPUTED_VALUE"""),"Thriller")</f>
        <v>Thriller</v>
      </c>
      <c r="D698" s="33">
        <f>IFERROR(__xludf.DUMMYFUNCTION("""COMPUTED_VALUE"""),1.25E8)</f>
        <v>125000000</v>
      </c>
      <c r="E698" s="33">
        <f>IFERROR(__xludf.DUMMYFUNCTION("""COMPUTED_VALUE"""),2.761E8)</f>
        <v>276100000</v>
      </c>
    </row>
    <row r="699">
      <c r="A699" s="31" t="str">
        <f>IFERROR(__xludf.DUMMYFUNCTION("""COMPUTED_VALUE"""),"The Boy")</f>
        <v>The Boy</v>
      </c>
      <c r="B699" s="32">
        <f>IFERROR(__xludf.DUMMYFUNCTION("""COMPUTED_VALUE"""),42391.0)</f>
        <v>42391</v>
      </c>
      <c r="C699" s="33" t="str">
        <f>IFERROR(__xludf.DUMMYFUNCTION("""COMPUTED_VALUE"""),"Thriller")</f>
        <v>Thriller</v>
      </c>
      <c r="D699" s="33">
        <f>IFERROR(__xludf.DUMMYFUNCTION("""COMPUTED_VALUE"""),1.0E7)</f>
        <v>10000000</v>
      </c>
      <c r="E699" s="33">
        <f>IFERROR(__xludf.DUMMYFUNCTION("""COMPUTED_VALUE"""),6.42E7)</f>
        <v>64200000</v>
      </c>
    </row>
    <row r="700">
      <c r="A700" s="31" t="str">
        <f>IFERROR(__xludf.DUMMYFUNCTION("""COMPUTED_VALUE"""),"The Butler")</f>
        <v>The Butler</v>
      </c>
      <c r="B700" s="32">
        <f>IFERROR(__xludf.DUMMYFUNCTION("""COMPUTED_VALUE"""),41502.0)</f>
        <v>41502</v>
      </c>
      <c r="C700" s="33" t="str">
        <f>IFERROR(__xludf.DUMMYFUNCTION("""COMPUTED_VALUE"""),"Biography")</f>
        <v>Biography</v>
      </c>
      <c r="D700" s="33">
        <f>IFERROR(__xludf.DUMMYFUNCTION("""COMPUTED_VALUE"""),3.0E7)</f>
        <v>30000000</v>
      </c>
      <c r="E700" s="33">
        <f>IFERROR(__xludf.DUMMYFUNCTION("""COMPUTED_VALUE"""),1.766E8)</f>
        <v>176600000</v>
      </c>
    </row>
    <row r="701">
      <c r="A701" s="31" t="str">
        <f>IFERROR(__xludf.DUMMYFUNCTION("""COMPUTED_VALUE"""),"The Cabin in the Woods")</f>
        <v>The Cabin in the Woods</v>
      </c>
      <c r="B701" s="32">
        <f>IFERROR(__xludf.DUMMYFUNCTION("""COMPUTED_VALUE"""),41012.0)</f>
        <v>41012</v>
      </c>
      <c r="C701" s="33" t="str">
        <f>IFERROR(__xludf.DUMMYFUNCTION("""COMPUTED_VALUE"""),"Comedy")</f>
        <v>Comedy</v>
      </c>
      <c r="D701" s="33">
        <f>IFERROR(__xludf.DUMMYFUNCTION("""COMPUTED_VALUE"""),3.0E7)</f>
        <v>30000000</v>
      </c>
      <c r="E701" s="33">
        <f>IFERROR(__xludf.DUMMYFUNCTION("""COMPUTED_VALUE"""),6.65E7)</f>
        <v>66500000</v>
      </c>
    </row>
    <row r="702">
      <c r="A702" s="31" t="str">
        <f>IFERROR(__xludf.DUMMYFUNCTION("""COMPUTED_VALUE"""),"The Cold Light of Day")</f>
        <v>The Cold Light of Day</v>
      </c>
      <c r="B702" s="32">
        <f>IFERROR(__xludf.DUMMYFUNCTION("""COMPUTED_VALUE"""),41159.0)</f>
        <v>41159</v>
      </c>
      <c r="C702" s="33" t="str">
        <f>IFERROR(__xludf.DUMMYFUNCTION("""COMPUTED_VALUE"""),"Thriller")</f>
        <v>Thriller</v>
      </c>
      <c r="D702" s="33">
        <f>IFERROR(__xludf.DUMMYFUNCTION("""COMPUTED_VALUE"""),2.0E7)</f>
        <v>20000000</v>
      </c>
      <c r="E702" s="33">
        <f>IFERROR(__xludf.DUMMYFUNCTION("""COMPUTED_VALUE"""),1.69E7)</f>
        <v>16900000</v>
      </c>
    </row>
    <row r="703">
      <c r="A703" s="31" t="str">
        <f>IFERROR(__xludf.DUMMYFUNCTION("""COMPUTED_VALUE"""),"The Conjuring")</f>
        <v>The Conjuring</v>
      </c>
      <c r="B703" s="32">
        <f>IFERROR(__xludf.DUMMYFUNCTION("""COMPUTED_VALUE"""),41474.0)</f>
        <v>41474</v>
      </c>
      <c r="C703" s="33" t="str">
        <f>IFERROR(__xludf.DUMMYFUNCTION("""COMPUTED_VALUE"""),"Horror")</f>
        <v>Horror</v>
      </c>
      <c r="D703" s="33">
        <f>IFERROR(__xludf.DUMMYFUNCTION("""COMPUTED_VALUE"""),2.0E7)</f>
        <v>20000000</v>
      </c>
      <c r="E703" s="33">
        <f>IFERROR(__xludf.DUMMYFUNCTION("""COMPUTED_VALUE"""),3.18E8)</f>
        <v>318000000</v>
      </c>
    </row>
    <row r="704">
      <c r="A704" s="31" t="str">
        <f>IFERROR(__xludf.DUMMYFUNCTION("""COMPUTED_VALUE"""),"The Croods")</f>
        <v>The Croods</v>
      </c>
      <c r="B704" s="32">
        <f>IFERROR(__xludf.DUMMYFUNCTION("""COMPUTED_VALUE"""),41355.0)</f>
        <v>41355</v>
      </c>
      <c r="C704" s="33" t="str">
        <f>IFERROR(__xludf.DUMMYFUNCTION("""COMPUTED_VALUE"""),"Comedy")</f>
        <v>Comedy</v>
      </c>
      <c r="D704" s="33">
        <f>IFERROR(__xludf.DUMMYFUNCTION("""COMPUTED_VALUE"""),1.35E8)</f>
        <v>135000000</v>
      </c>
      <c r="E704" s="33">
        <f>IFERROR(__xludf.DUMMYFUNCTION("""COMPUTED_VALUE"""),5.872E8)</f>
        <v>587200000</v>
      </c>
    </row>
    <row r="705">
      <c r="A705" s="31" t="str">
        <f>IFERROR(__xludf.DUMMYFUNCTION("""COMPUTED_VALUE"""),"The Devil Inside")</f>
        <v>The Devil Inside</v>
      </c>
      <c r="B705" s="32">
        <f>IFERROR(__xludf.DUMMYFUNCTION("""COMPUTED_VALUE"""),40914.0)</f>
        <v>40914</v>
      </c>
      <c r="C705" s="33" t="str">
        <f>IFERROR(__xludf.DUMMYFUNCTION("""COMPUTED_VALUE"""),"Drama")</f>
        <v>Drama</v>
      </c>
      <c r="D705" s="33">
        <f>IFERROR(__xludf.DUMMYFUNCTION("""COMPUTED_VALUE"""),1000000.0)</f>
        <v>1000000</v>
      </c>
      <c r="E705" s="33">
        <f>IFERROR(__xludf.DUMMYFUNCTION("""COMPUTED_VALUE"""),1.018E8)</f>
        <v>101800000</v>
      </c>
    </row>
    <row r="706">
      <c r="A706" s="31" t="str">
        <f>IFERROR(__xludf.DUMMYFUNCTION("""COMPUTED_VALUE"""),"The Divergent Series: Allegiant")</f>
        <v>The Divergent Series: Allegiant</v>
      </c>
      <c r="B706" s="32">
        <f>IFERROR(__xludf.DUMMYFUNCTION("""COMPUTED_VALUE"""),42447.0)</f>
        <v>42447</v>
      </c>
      <c r="C706" s="33" t="str">
        <f>IFERROR(__xludf.DUMMYFUNCTION("""COMPUTED_VALUE"""),"Action")</f>
        <v>Action</v>
      </c>
      <c r="D706" s="33">
        <f>IFERROR(__xludf.DUMMYFUNCTION("""COMPUTED_VALUE"""),1.1E8)</f>
        <v>110000000</v>
      </c>
      <c r="E706" s="33">
        <f>IFERROR(__xludf.DUMMYFUNCTION("""COMPUTED_VALUE"""),1.792E8)</f>
        <v>179200000</v>
      </c>
    </row>
    <row r="707">
      <c r="A707" s="31" t="str">
        <f>IFERROR(__xludf.DUMMYFUNCTION("""COMPUTED_VALUE"""),"The Divergent Series: Insurgent")</f>
        <v>The Divergent Series: Insurgent</v>
      </c>
      <c r="B707" s="32">
        <f>IFERROR(__xludf.DUMMYFUNCTION("""COMPUTED_VALUE"""),42082.0)</f>
        <v>42082</v>
      </c>
      <c r="C707" s="33" t="str">
        <f>IFERROR(__xludf.DUMMYFUNCTION("""COMPUTED_VALUE"""),"Action")</f>
        <v>Action</v>
      </c>
      <c r="D707" s="33">
        <f>IFERROR(__xludf.DUMMYFUNCTION("""COMPUTED_VALUE"""),1.1E8)</f>
        <v>110000000</v>
      </c>
      <c r="E707" s="33">
        <f>IFERROR(__xludf.DUMMYFUNCTION("""COMPUTED_VALUE"""),2.973E8)</f>
        <v>297300000</v>
      </c>
    </row>
    <row r="708">
      <c r="A708" s="31" t="str">
        <f>IFERROR(__xludf.DUMMYFUNCTION("""COMPUTED_VALUE"""),"The Five-Year Engagement")</f>
        <v>The Five-Year Engagement</v>
      </c>
      <c r="B708" s="32">
        <f>IFERROR(__xludf.DUMMYFUNCTION("""COMPUTED_VALUE"""),41026.0)</f>
        <v>41026</v>
      </c>
      <c r="C708" s="33" t="str">
        <f>IFERROR(__xludf.DUMMYFUNCTION("""COMPUTED_VALUE"""),"Romance")</f>
        <v>Romance</v>
      </c>
      <c r="D708" s="33">
        <f>IFERROR(__xludf.DUMMYFUNCTION("""COMPUTED_VALUE"""),3.0E7)</f>
        <v>30000000</v>
      </c>
      <c r="E708" s="33">
        <f>IFERROR(__xludf.DUMMYFUNCTION("""COMPUTED_VALUE"""),5.39E7)</f>
        <v>53900000</v>
      </c>
    </row>
    <row r="709">
      <c r="A709" s="31" t="str">
        <f>IFERROR(__xludf.DUMMYFUNCTION("""COMPUTED_VALUE"""),"The Great Gatsby")</f>
        <v>The Great Gatsby</v>
      </c>
      <c r="B709" s="32">
        <f>IFERROR(__xludf.DUMMYFUNCTION("""COMPUTED_VALUE"""),41404.0)</f>
        <v>41404</v>
      </c>
      <c r="C709" s="33" t="str">
        <f>IFERROR(__xludf.DUMMYFUNCTION("""COMPUTED_VALUE"""),"Romance")</f>
        <v>Romance</v>
      </c>
      <c r="D709" s="33">
        <f>IFERROR(__xludf.DUMMYFUNCTION("""COMPUTED_VALUE"""),1.05E8)</f>
        <v>105000000</v>
      </c>
      <c r="E709" s="33">
        <f>IFERROR(__xludf.DUMMYFUNCTION("""COMPUTED_VALUE"""),3.51E8)</f>
        <v>351000000</v>
      </c>
    </row>
    <row r="710">
      <c r="A710" s="31" t="str">
        <f>IFERROR(__xludf.DUMMYFUNCTION("""COMPUTED_VALUE"""),"The Grey")</f>
        <v>The Grey</v>
      </c>
      <c r="B710" s="32">
        <f>IFERROR(__xludf.DUMMYFUNCTION("""COMPUTED_VALUE"""),40935.0)</f>
        <v>40935</v>
      </c>
      <c r="C710" s="33" t="str">
        <f>IFERROR(__xludf.DUMMYFUNCTION("""COMPUTED_VALUE"""),"Drama")</f>
        <v>Drama</v>
      </c>
      <c r="D710" s="33">
        <f>IFERROR(__xludf.DUMMYFUNCTION("""COMPUTED_VALUE"""),2.5E7)</f>
        <v>25000000</v>
      </c>
      <c r="E710" s="33">
        <f>IFERROR(__xludf.DUMMYFUNCTION("""COMPUTED_VALUE"""),7.73E7)</f>
        <v>77300000</v>
      </c>
    </row>
    <row r="711">
      <c r="A711" s="31" t="str">
        <f>IFERROR(__xludf.DUMMYFUNCTION("""COMPUTED_VALUE"""),"The Heat")</f>
        <v>The Heat</v>
      </c>
      <c r="B711" s="32">
        <f>IFERROR(__xludf.DUMMYFUNCTION("""COMPUTED_VALUE"""),41453.0)</f>
        <v>41453</v>
      </c>
      <c r="C711" s="33" t="str">
        <f>IFERROR(__xludf.DUMMYFUNCTION("""COMPUTED_VALUE"""),"Comedy")</f>
        <v>Comedy</v>
      </c>
      <c r="D711" s="33">
        <f>IFERROR(__xludf.DUMMYFUNCTION("""COMPUTED_VALUE"""),4.3E7)</f>
        <v>43000000</v>
      </c>
      <c r="E711" s="33">
        <f>IFERROR(__xludf.DUMMYFUNCTION("""COMPUTED_VALUE"""),2.299E8)</f>
        <v>229900000</v>
      </c>
    </row>
    <row r="712">
      <c r="A712" s="31" t="str">
        <f>IFERROR(__xludf.DUMMYFUNCTION("""COMPUTED_VALUE"""),"The Hobbit: The Battle of the Five Armies")</f>
        <v>The Hobbit: The Battle of the Five Armies</v>
      </c>
      <c r="B712" s="32">
        <f>IFERROR(__xludf.DUMMYFUNCTION("""COMPUTED_VALUE"""),41974.0)</f>
        <v>41974</v>
      </c>
      <c r="C712" s="33" t="str">
        <f>IFERROR(__xludf.DUMMYFUNCTION("""COMPUTED_VALUE"""),"Fantasy")</f>
        <v>Fantasy</v>
      </c>
      <c r="D712" s="33">
        <f>IFERROR(__xludf.DUMMYFUNCTION("""COMPUTED_VALUE"""),2.5E8)</f>
        <v>250000000</v>
      </c>
      <c r="E712" s="33">
        <f>IFERROR(__xludf.DUMMYFUNCTION("""COMPUTED_VALUE"""),9.56E8)</f>
        <v>956000000</v>
      </c>
    </row>
    <row r="713">
      <c r="A713" s="31" t="str">
        <f>IFERROR(__xludf.DUMMYFUNCTION("""COMPUTED_VALUE"""),"The Host")</f>
        <v>The Host</v>
      </c>
      <c r="B713" s="32">
        <f>IFERROR(__xludf.DUMMYFUNCTION("""COMPUTED_VALUE"""),41362.0)</f>
        <v>41362</v>
      </c>
      <c r="C713" s="33" t="str">
        <f>IFERROR(__xludf.DUMMYFUNCTION("""COMPUTED_VALUE"""),"Romance")</f>
        <v>Romance</v>
      </c>
      <c r="D713" s="33">
        <f>IFERROR(__xludf.DUMMYFUNCTION("""COMPUTED_VALUE"""),4.0E7)</f>
        <v>40000000</v>
      </c>
      <c r="E713" s="33">
        <f>IFERROR(__xludf.DUMMYFUNCTION("""COMPUTED_VALUE"""),6.33E7)</f>
        <v>63300000</v>
      </c>
    </row>
    <row r="714">
      <c r="A714" s="31" t="str">
        <f>IFERROR(__xludf.DUMMYFUNCTION("""COMPUTED_VALUE"""),"The Hunger Games")</f>
        <v>The Hunger Games</v>
      </c>
      <c r="B714" s="32">
        <f>IFERROR(__xludf.DUMMYFUNCTION("""COMPUTED_VALUE"""),40991.0)</f>
        <v>40991</v>
      </c>
      <c r="C714" s="33" t="str">
        <f>IFERROR(__xludf.DUMMYFUNCTION("""COMPUTED_VALUE"""),"Sci-Fi")</f>
        <v>Sci-Fi</v>
      </c>
      <c r="D714" s="33">
        <f>IFERROR(__xludf.DUMMYFUNCTION("""COMPUTED_VALUE"""),7.8E7)</f>
        <v>78000000</v>
      </c>
      <c r="E714" s="33">
        <f>IFERROR(__xludf.DUMMYFUNCTION("""COMPUTED_VALUE"""),6.944E8)</f>
        <v>694400000</v>
      </c>
    </row>
    <row r="715">
      <c r="A715" s="31" t="str">
        <f>IFERROR(__xludf.DUMMYFUNCTION("""COMPUTED_VALUE"""),"The Hunger Games: Mockingjay – Part 1")</f>
        <v>The Hunger Games: Mockingjay – Part 1</v>
      </c>
      <c r="B715" s="32">
        <f>IFERROR(__xludf.DUMMYFUNCTION("""COMPUTED_VALUE"""),41953.0)</f>
        <v>41953</v>
      </c>
      <c r="C715" s="33" t="str">
        <f>IFERROR(__xludf.DUMMYFUNCTION("""COMPUTED_VALUE"""),"Adventure")</f>
        <v>Adventure</v>
      </c>
      <c r="D715" s="33">
        <f>IFERROR(__xludf.DUMMYFUNCTION("""COMPUTED_VALUE"""),1.25E8)</f>
        <v>125000000</v>
      </c>
      <c r="E715" s="33">
        <f>IFERROR(__xludf.DUMMYFUNCTION("""COMPUTED_VALUE"""),7.554E8)</f>
        <v>755400000</v>
      </c>
    </row>
    <row r="716">
      <c r="A716" s="31" t="str">
        <f>IFERROR(__xludf.DUMMYFUNCTION("""COMPUTED_VALUE"""),"The Iceman")</f>
        <v>The Iceman</v>
      </c>
      <c r="B716" s="32">
        <f>IFERROR(__xludf.DUMMYFUNCTION("""COMPUTED_VALUE"""),41397.0)</f>
        <v>41397</v>
      </c>
      <c r="C716" s="33" t="str">
        <f>IFERROR(__xludf.DUMMYFUNCTION("""COMPUTED_VALUE"""),"Thriller")</f>
        <v>Thriller</v>
      </c>
      <c r="D716" s="33">
        <f>IFERROR(__xludf.DUMMYFUNCTION("""COMPUTED_VALUE"""),1.0E7)</f>
        <v>10000000</v>
      </c>
      <c r="E716" s="33">
        <f>IFERROR(__xludf.DUMMYFUNCTION("""COMPUTED_VALUE"""),4400000.0)</f>
        <v>4400000</v>
      </c>
    </row>
    <row r="717">
      <c r="A717" s="31" t="str">
        <f>IFERROR(__xludf.DUMMYFUNCTION("""COMPUTED_VALUE"""),"The Identical")</f>
        <v>The Identical</v>
      </c>
      <c r="B717" s="32">
        <f>IFERROR(__xludf.DUMMYFUNCTION("""COMPUTED_VALUE"""),41746.0)</f>
        <v>41746</v>
      </c>
      <c r="C717" s="33" t="str">
        <f>IFERROR(__xludf.DUMMYFUNCTION("""COMPUTED_VALUE"""),"Musical")</f>
        <v>Musical</v>
      </c>
      <c r="D717" s="33">
        <f>IFERROR(__xludf.DUMMYFUNCTION("""COMPUTED_VALUE"""),1.6E7)</f>
        <v>16000000</v>
      </c>
      <c r="E717" s="33">
        <f>IFERROR(__xludf.DUMMYFUNCTION("""COMPUTED_VALUE"""),2800000.0)</f>
        <v>2800000</v>
      </c>
    </row>
    <row r="718">
      <c r="A718" s="31" t="str">
        <f>IFERROR(__xludf.DUMMYFUNCTION("""COMPUTED_VALUE"""),"The Infiltrator")</f>
        <v>The Infiltrator</v>
      </c>
      <c r="B718" s="32">
        <f>IFERROR(__xludf.DUMMYFUNCTION("""COMPUTED_VALUE"""),42564.0)</f>
        <v>42564</v>
      </c>
      <c r="C718" s="33" t="str">
        <f>IFERROR(__xludf.DUMMYFUNCTION("""COMPUTED_VALUE"""),"Biography")</f>
        <v>Biography</v>
      </c>
      <c r="D718" s="33">
        <f>IFERROR(__xludf.DUMMYFUNCTION("""COMPUTED_VALUE"""),4.75E7)</f>
        <v>47500000</v>
      </c>
      <c r="E718" s="33">
        <f>IFERROR(__xludf.DUMMYFUNCTION("""COMPUTED_VALUE"""),1.52E7)</f>
        <v>15200000</v>
      </c>
    </row>
    <row r="719">
      <c r="A719" s="31" t="str">
        <f>IFERROR(__xludf.DUMMYFUNCTION("""COMPUTED_VALUE"""),"The Interview")</f>
        <v>The Interview</v>
      </c>
      <c r="B719" s="32">
        <f>IFERROR(__xludf.DUMMYFUNCTION("""COMPUTED_VALUE"""),41984.0)</f>
        <v>41984</v>
      </c>
      <c r="C719" s="33" t="str">
        <f>IFERROR(__xludf.DUMMYFUNCTION("""COMPUTED_VALUE"""),"Comedy")</f>
        <v>Comedy</v>
      </c>
      <c r="D719" s="33">
        <f>IFERROR(__xludf.DUMMYFUNCTION("""COMPUTED_VALUE"""),4.4E7)</f>
        <v>44000000</v>
      </c>
      <c r="E719" s="33">
        <f>IFERROR(__xludf.DUMMYFUNCTION("""COMPUTED_VALUE"""),1.13E7)</f>
        <v>11300000</v>
      </c>
    </row>
    <row r="720">
      <c r="A720" s="31" t="str">
        <f>IFERROR(__xludf.DUMMYFUNCTION("""COMPUTED_VALUE"""),"The Judge")</f>
        <v>The Judge</v>
      </c>
      <c r="B720" s="32">
        <f>IFERROR(__xludf.DUMMYFUNCTION("""COMPUTED_VALUE"""),41886.0)</f>
        <v>41886</v>
      </c>
      <c r="C720" s="33" t="str">
        <f>IFERROR(__xludf.DUMMYFUNCTION("""COMPUTED_VALUE"""),"Drama")</f>
        <v>Drama</v>
      </c>
      <c r="D720" s="33">
        <f>IFERROR(__xludf.DUMMYFUNCTION("""COMPUTED_VALUE"""),5.0E7)</f>
        <v>50000000</v>
      </c>
      <c r="E720" s="33">
        <f>IFERROR(__xludf.DUMMYFUNCTION("""COMPUTED_VALUE"""),8.44E7)</f>
        <v>84400000</v>
      </c>
    </row>
    <row r="721">
      <c r="A721" s="31" t="str">
        <f>IFERROR(__xludf.DUMMYFUNCTION("""COMPUTED_VALUE"""),"The Lady in the Van")</f>
        <v>The Lady in the Van</v>
      </c>
      <c r="B721" s="32">
        <f>IFERROR(__xludf.DUMMYFUNCTION("""COMPUTED_VALUE"""),42342.0)</f>
        <v>42342</v>
      </c>
      <c r="C721" s="33" t="str">
        <f>IFERROR(__xludf.DUMMYFUNCTION("""COMPUTED_VALUE"""),"Drama")</f>
        <v>Drama</v>
      </c>
      <c r="D721" s="33">
        <f>IFERROR(__xludf.DUMMYFUNCTION("""COMPUTED_VALUE"""),6000000.0)</f>
        <v>6000000</v>
      </c>
      <c r="E721" s="33">
        <f>IFERROR(__xludf.DUMMYFUNCTION("""COMPUTED_VALUE"""),4.14E7)</f>
        <v>41400000</v>
      </c>
    </row>
    <row r="722">
      <c r="A722" s="31" t="str">
        <f>IFERROR(__xludf.DUMMYFUNCTION("""COMPUTED_VALUE"""),"The Last Exorcism Part II")</f>
        <v>The Last Exorcism Part II</v>
      </c>
      <c r="B722" s="32">
        <f>IFERROR(__xludf.DUMMYFUNCTION("""COMPUTED_VALUE"""),41334.0)</f>
        <v>41334</v>
      </c>
      <c r="C722" s="33" t="str">
        <f>IFERROR(__xludf.DUMMYFUNCTION("""COMPUTED_VALUE"""),"Thriller")</f>
        <v>Thriller</v>
      </c>
      <c r="D722" s="33">
        <f>IFERROR(__xludf.DUMMYFUNCTION("""COMPUTED_VALUE"""),5000000.0)</f>
        <v>5000000</v>
      </c>
      <c r="E722" s="33">
        <f>IFERROR(__xludf.DUMMYFUNCTION("""COMPUTED_VALUE"""),1.51E7)</f>
        <v>15100000</v>
      </c>
    </row>
    <row r="723">
      <c r="A723" s="31" t="str">
        <f>IFERROR(__xludf.DUMMYFUNCTION("""COMPUTED_VALUE"""),"The Last Witch Hunter")</f>
        <v>The Last Witch Hunter</v>
      </c>
      <c r="B723" s="32">
        <f>IFERROR(__xludf.DUMMYFUNCTION("""COMPUTED_VALUE"""),42300.0)</f>
        <v>42300</v>
      </c>
      <c r="C723" s="33" t="str">
        <f>IFERROR(__xludf.DUMMYFUNCTION("""COMPUTED_VALUE"""),"Fantasy")</f>
        <v>Fantasy</v>
      </c>
      <c r="D723" s="33">
        <f>IFERROR(__xludf.DUMMYFUNCTION("""COMPUTED_VALUE"""),9.0E7)</f>
        <v>90000000</v>
      </c>
      <c r="E723" s="33">
        <f>IFERROR(__xludf.DUMMYFUNCTION("""COMPUTED_VALUE"""),1.404E8)</f>
        <v>140400000</v>
      </c>
    </row>
    <row r="724">
      <c r="A724" s="31" t="str">
        <f>IFERROR(__xludf.DUMMYFUNCTION("""COMPUTED_VALUE"""),"The Legend of Hercules")</f>
        <v>The Legend of Hercules</v>
      </c>
      <c r="B724" s="32">
        <f>IFERROR(__xludf.DUMMYFUNCTION("""COMPUTED_VALUE"""),41649.0)</f>
        <v>41649</v>
      </c>
      <c r="C724" s="33" t="str">
        <f>IFERROR(__xludf.DUMMYFUNCTION("""COMPUTED_VALUE"""),"Adventure")</f>
        <v>Adventure</v>
      </c>
      <c r="D724" s="33">
        <f>IFERROR(__xludf.DUMMYFUNCTION("""COMPUTED_VALUE"""),7.0E7)</f>
        <v>70000000</v>
      </c>
      <c r="E724" s="33">
        <f>IFERROR(__xludf.DUMMYFUNCTION("""COMPUTED_VALUE"""),6.13E7)</f>
        <v>61300000</v>
      </c>
    </row>
    <row r="725">
      <c r="A725" s="31" t="str">
        <f>IFERROR(__xludf.DUMMYFUNCTION("""COMPUTED_VALUE"""),"The Legend of Tarzan")</f>
        <v>The Legend of Tarzan</v>
      </c>
      <c r="B725" s="32">
        <f>IFERROR(__xludf.DUMMYFUNCTION("""COMPUTED_VALUE"""),42552.0)</f>
        <v>42552</v>
      </c>
      <c r="C725" s="33" t="str">
        <f>IFERROR(__xludf.DUMMYFUNCTION("""COMPUTED_VALUE"""),"Adventure")</f>
        <v>Adventure</v>
      </c>
      <c r="D725" s="33">
        <f>IFERROR(__xludf.DUMMYFUNCTION("""COMPUTED_VALUE"""),1.8E8)</f>
        <v>180000000</v>
      </c>
      <c r="E725" s="33">
        <f>IFERROR(__xludf.DUMMYFUNCTION("""COMPUTED_VALUE"""),3.527E8)</f>
        <v>352700000</v>
      </c>
    </row>
    <row r="726">
      <c r="A726" s="31" t="str">
        <f>IFERROR(__xludf.DUMMYFUNCTION("""COMPUTED_VALUE"""),"The Lucky One")</f>
        <v>The Lucky One</v>
      </c>
      <c r="B726" s="32">
        <f>IFERROR(__xludf.DUMMYFUNCTION("""COMPUTED_VALUE"""),41019.0)</f>
        <v>41019</v>
      </c>
      <c r="C726" s="33" t="str">
        <f>IFERROR(__xludf.DUMMYFUNCTION("""COMPUTED_VALUE"""),"Romance")</f>
        <v>Romance</v>
      </c>
      <c r="D726" s="33">
        <f>IFERROR(__xludf.DUMMYFUNCTION("""COMPUTED_VALUE"""),2.5E7)</f>
        <v>25000000</v>
      </c>
      <c r="E726" s="33">
        <f>IFERROR(__xludf.DUMMYFUNCTION("""COMPUTED_VALUE"""),9.94E7)</f>
        <v>99400000</v>
      </c>
    </row>
    <row r="727">
      <c r="A727" s="31" t="str">
        <f>IFERROR(__xludf.DUMMYFUNCTION("""COMPUTED_VALUE"""),"The Man from U.N.C.L.E.")</f>
        <v>The Man from U.N.C.L.E.</v>
      </c>
      <c r="B727" s="32">
        <f>IFERROR(__xludf.DUMMYFUNCTION("""COMPUTED_VALUE"""),42223.0)</f>
        <v>42223</v>
      </c>
      <c r="C727" s="33" t="str">
        <f>IFERROR(__xludf.DUMMYFUNCTION("""COMPUTED_VALUE"""),"Comedy")</f>
        <v>Comedy</v>
      </c>
      <c r="D727" s="33">
        <f>IFERROR(__xludf.DUMMYFUNCTION("""COMPUTED_VALUE"""),7.5E7)</f>
        <v>75000000</v>
      </c>
      <c r="E727" s="33">
        <f>IFERROR(__xludf.DUMMYFUNCTION("""COMPUTED_VALUE"""),1.098E8)</f>
        <v>109800000</v>
      </c>
    </row>
    <row r="728">
      <c r="A728" s="31" t="str">
        <f>IFERROR(__xludf.DUMMYFUNCTION("""COMPUTED_VALUE"""),"The Man with the Iron Fists")</f>
        <v>The Man with the Iron Fists</v>
      </c>
      <c r="B728" s="32">
        <f>IFERROR(__xludf.DUMMYFUNCTION("""COMPUTED_VALUE"""),41215.0)</f>
        <v>41215</v>
      </c>
      <c r="C728" s="33" t="str">
        <f>IFERROR(__xludf.DUMMYFUNCTION("""COMPUTED_VALUE"""),"Fantasy")</f>
        <v>Fantasy</v>
      </c>
      <c r="D728" s="33">
        <f>IFERROR(__xludf.DUMMYFUNCTION("""COMPUTED_VALUE"""),2.0E7)</f>
        <v>20000000</v>
      </c>
      <c r="E728" s="33">
        <f>IFERROR(__xludf.DUMMYFUNCTION("""COMPUTED_VALUE"""),2.03E7)</f>
        <v>20300000</v>
      </c>
    </row>
    <row r="729">
      <c r="A729" s="31" t="str">
        <f>IFERROR(__xludf.DUMMYFUNCTION("""COMPUTED_VALUE"""),"The Maze Runner")</f>
        <v>The Maze Runner</v>
      </c>
      <c r="B729" s="32">
        <f>IFERROR(__xludf.DUMMYFUNCTION("""COMPUTED_VALUE"""),41901.0)</f>
        <v>41901</v>
      </c>
      <c r="C729" s="33" t="str">
        <f>IFERROR(__xludf.DUMMYFUNCTION("""COMPUTED_VALUE"""),"Mystery")</f>
        <v>Mystery</v>
      </c>
      <c r="D729" s="33">
        <f>IFERROR(__xludf.DUMMYFUNCTION("""COMPUTED_VALUE"""),3.4E7)</f>
        <v>34000000</v>
      </c>
      <c r="E729" s="33">
        <f>IFERROR(__xludf.DUMMYFUNCTION("""COMPUTED_VALUE"""),3.483E8)</f>
        <v>348300000</v>
      </c>
    </row>
    <row r="730">
      <c r="A730" s="31" t="str">
        <f>IFERROR(__xludf.DUMMYFUNCTION("""COMPUTED_VALUE"""),"The Mermaid")</f>
        <v>The Mermaid</v>
      </c>
      <c r="B730" s="32">
        <f>IFERROR(__xludf.DUMMYFUNCTION("""COMPUTED_VALUE"""),42408.0)</f>
        <v>42408</v>
      </c>
      <c r="C730" s="33" t="str">
        <f>IFERROR(__xludf.DUMMYFUNCTION("""COMPUTED_VALUE"""),"Fantasy")</f>
        <v>Fantasy</v>
      </c>
      <c r="D730" s="33">
        <f>IFERROR(__xludf.DUMMYFUNCTION("""COMPUTED_VALUE"""),6.072E7)</f>
        <v>60720000</v>
      </c>
      <c r="E730" s="33">
        <f>IFERROR(__xludf.DUMMYFUNCTION("""COMPUTED_VALUE"""),5.538E8)</f>
        <v>553800000</v>
      </c>
    </row>
    <row r="731">
      <c r="A731" s="31" t="str">
        <f>IFERROR(__xludf.DUMMYFUNCTION("""COMPUTED_VALUE"""),"The Mortal Instruments: City of Bones")</f>
        <v>The Mortal Instruments: City of Bones</v>
      </c>
      <c r="B731" s="32">
        <f>IFERROR(__xludf.DUMMYFUNCTION("""COMPUTED_VALUE"""),41507.0)</f>
        <v>41507</v>
      </c>
      <c r="C731" s="33" t="str">
        <f>IFERROR(__xludf.DUMMYFUNCTION("""COMPUTED_VALUE"""),"Fantasy")</f>
        <v>Fantasy</v>
      </c>
      <c r="D731" s="33">
        <f>IFERROR(__xludf.DUMMYFUNCTION("""COMPUTED_VALUE"""),6.0E7)</f>
        <v>60000000</v>
      </c>
      <c r="E731" s="33">
        <f>IFERROR(__xludf.DUMMYFUNCTION("""COMPUTED_VALUE"""),9.06E7)</f>
        <v>90600000</v>
      </c>
    </row>
    <row r="732">
      <c r="A732" s="31" t="str">
        <f>IFERROR(__xludf.DUMMYFUNCTION("""COMPUTED_VALUE"""),"The Peanuts Movie")</f>
        <v>The Peanuts Movie</v>
      </c>
      <c r="B732" s="32">
        <f>IFERROR(__xludf.DUMMYFUNCTION("""COMPUTED_VALUE"""),42309.0)</f>
        <v>42309</v>
      </c>
      <c r="C732" s="33" t="str">
        <f>IFERROR(__xludf.DUMMYFUNCTION("""COMPUTED_VALUE"""),"Comedy")</f>
        <v>Comedy</v>
      </c>
      <c r="D732" s="33">
        <f>IFERROR(__xludf.DUMMYFUNCTION("""COMPUTED_VALUE"""),9.9E7)</f>
        <v>99000000</v>
      </c>
      <c r="E732" s="33">
        <f>IFERROR(__xludf.DUMMYFUNCTION("""COMPUTED_VALUE"""),2.462E8)</f>
        <v>246200000</v>
      </c>
    </row>
    <row r="733">
      <c r="A733" s="31" t="str">
        <f>IFERROR(__xludf.DUMMYFUNCTION("""COMPUTED_VALUE"""),"The Pirates! Band of Misfits")</f>
        <v>The Pirates! Band of Misfits</v>
      </c>
      <c r="B733" s="32">
        <f>IFERROR(__xludf.DUMMYFUNCTION("""COMPUTED_VALUE"""),41026.0)</f>
        <v>41026</v>
      </c>
      <c r="C733" s="33" t="str">
        <f>IFERROR(__xludf.DUMMYFUNCTION("""COMPUTED_VALUE"""),"Action")</f>
        <v>Action</v>
      </c>
      <c r="D733" s="33">
        <f>IFERROR(__xludf.DUMMYFUNCTION("""COMPUTED_VALUE"""),5.5E7)</f>
        <v>55000000</v>
      </c>
      <c r="E733" s="33">
        <f>IFERROR(__xludf.DUMMYFUNCTION("""COMPUTED_VALUE"""),1.23E8)</f>
        <v>123000000</v>
      </c>
    </row>
    <row r="734">
      <c r="A734" s="31" t="str">
        <f>IFERROR(__xludf.DUMMYFUNCTION("""COMPUTED_VALUE"""),"The Place Beyond the Pines")</f>
        <v>The Place Beyond the Pines</v>
      </c>
      <c r="B734" s="32">
        <f>IFERROR(__xludf.DUMMYFUNCTION("""COMPUTED_VALUE"""),41362.0)</f>
        <v>41362</v>
      </c>
      <c r="C734" s="33" t="str">
        <f>IFERROR(__xludf.DUMMYFUNCTION("""COMPUTED_VALUE"""),"Drama")</f>
        <v>Drama</v>
      </c>
      <c r="D734" s="33">
        <f>IFERROR(__xludf.DUMMYFUNCTION("""COMPUTED_VALUE"""),1.5E7)</f>
        <v>15000000</v>
      </c>
      <c r="E734" s="33">
        <f>IFERROR(__xludf.DUMMYFUNCTION("""COMPUTED_VALUE"""),4.7E7)</f>
        <v>47000000</v>
      </c>
    </row>
    <row r="735">
      <c r="A735" s="31" t="str">
        <f>IFERROR(__xludf.DUMMYFUNCTION("""COMPUTED_VALUE"""),"The Possession")</f>
        <v>The Possession</v>
      </c>
      <c r="B735" s="32">
        <f>IFERROR(__xludf.DUMMYFUNCTION("""COMPUTED_VALUE"""),41152.0)</f>
        <v>41152</v>
      </c>
      <c r="C735" s="33" t="str">
        <f>IFERROR(__xludf.DUMMYFUNCTION("""COMPUTED_VALUE"""),"Thriller")</f>
        <v>Thriller</v>
      </c>
      <c r="D735" s="33">
        <f>IFERROR(__xludf.DUMMYFUNCTION("""COMPUTED_VALUE"""),1.4E7)</f>
        <v>14000000</v>
      </c>
      <c r="E735" s="33">
        <f>IFERROR(__xludf.DUMMYFUNCTION("""COMPUTED_VALUE"""),7.85E7)</f>
        <v>78500000</v>
      </c>
    </row>
    <row r="736">
      <c r="A736" s="31" t="str">
        <f>IFERROR(__xludf.DUMMYFUNCTION("""COMPUTED_VALUE"""),"The Purge")</f>
        <v>The Purge</v>
      </c>
      <c r="B736" s="32">
        <f>IFERROR(__xludf.DUMMYFUNCTION("""COMPUTED_VALUE"""),41425.0)</f>
        <v>41425</v>
      </c>
      <c r="C736" s="33" t="str">
        <f>IFERROR(__xludf.DUMMYFUNCTION("""COMPUTED_VALUE"""),"Thriller")</f>
        <v>Thriller</v>
      </c>
      <c r="D736" s="33">
        <f>IFERROR(__xludf.DUMMYFUNCTION("""COMPUTED_VALUE"""),3000000.0)</f>
        <v>3000000</v>
      </c>
      <c r="E736" s="33">
        <f>IFERROR(__xludf.DUMMYFUNCTION("""COMPUTED_VALUE"""),8.93E7)</f>
        <v>89300000</v>
      </c>
    </row>
    <row r="737">
      <c r="A737" s="31" t="str">
        <f>IFERROR(__xludf.DUMMYFUNCTION("""COMPUTED_VALUE"""),"The Purge: Election Year")</f>
        <v>The Purge: Election Year</v>
      </c>
      <c r="B737" s="32">
        <f>IFERROR(__xludf.DUMMYFUNCTION("""COMPUTED_VALUE"""),42552.0)</f>
        <v>42552</v>
      </c>
      <c r="C737" s="33" t="str">
        <f>IFERROR(__xludf.DUMMYFUNCTION("""COMPUTED_VALUE"""),"Thriller")</f>
        <v>Thriller</v>
      </c>
      <c r="D737" s="33">
        <f>IFERROR(__xludf.DUMMYFUNCTION("""COMPUTED_VALUE"""),1.0E7)</f>
        <v>10000000</v>
      </c>
      <c r="E737" s="33">
        <f>IFERROR(__xludf.DUMMYFUNCTION("""COMPUTED_VALUE"""),1.056E8)</f>
        <v>105600000</v>
      </c>
    </row>
    <row r="738">
      <c r="A738" s="31" t="str">
        <f>IFERROR(__xludf.DUMMYFUNCTION("""COMPUTED_VALUE"""),"The Second Best Exotic Marigold Hotel")</f>
        <v>The Second Best Exotic Marigold Hotel</v>
      </c>
      <c r="B738" s="32">
        <f>IFERROR(__xludf.DUMMYFUNCTION("""COMPUTED_VALUE"""),42061.0)</f>
        <v>42061</v>
      </c>
      <c r="C738" s="33" t="str">
        <f>IFERROR(__xludf.DUMMYFUNCTION("""COMPUTED_VALUE"""),"Drama")</f>
        <v>Drama</v>
      </c>
      <c r="D738" s="33">
        <f>IFERROR(__xludf.DUMMYFUNCTION("""COMPUTED_VALUE"""),1.0E7)</f>
        <v>10000000</v>
      </c>
      <c r="E738" s="33">
        <f>IFERROR(__xludf.DUMMYFUNCTION("""COMPUTED_VALUE"""),8.6E7)</f>
        <v>86000000</v>
      </c>
    </row>
    <row r="739">
      <c r="A739" s="31" t="str">
        <f>IFERROR(__xludf.DUMMYFUNCTION("""COMPUTED_VALUE"""),"The Secret Life of Pets")</f>
        <v>The Secret Life of Pets</v>
      </c>
      <c r="B739" s="32">
        <f>IFERROR(__xludf.DUMMYFUNCTION("""COMPUTED_VALUE"""),42559.0)</f>
        <v>42559</v>
      </c>
      <c r="C739" s="33" t="str">
        <f>IFERROR(__xludf.DUMMYFUNCTION("""COMPUTED_VALUE"""),"Comedy")</f>
        <v>Comedy</v>
      </c>
      <c r="D739" s="33">
        <f>IFERROR(__xludf.DUMMYFUNCTION("""COMPUTED_VALUE"""),7.5E7)</f>
        <v>75000000</v>
      </c>
      <c r="E739" s="33">
        <f>IFERROR(__xludf.DUMMYFUNCTION("""COMPUTED_VALUE"""),7.249E8)</f>
        <v>724900000</v>
      </c>
    </row>
    <row r="740">
      <c r="A740" s="31" t="str">
        <f>IFERROR(__xludf.DUMMYFUNCTION("""COMPUTED_VALUE"""),"The Smurfs 2")</f>
        <v>The Smurfs 2</v>
      </c>
      <c r="B740" s="32">
        <f>IFERROR(__xludf.DUMMYFUNCTION("""COMPUTED_VALUE"""),41486.0)</f>
        <v>41486</v>
      </c>
      <c r="C740" s="33" t="str">
        <f>IFERROR(__xludf.DUMMYFUNCTION("""COMPUTED_VALUE"""),"Family")</f>
        <v>Family</v>
      </c>
      <c r="D740" s="33">
        <f>IFERROR(__xludf.DUMMYFUNCTION("""COMPUTED_VALUE"""),1.05E8)</f>
        <v>105000000</v>
      </c>
      <c r="E740" s="33">
        <f>IFERROR(__xludf.DUMMYFUNCTION("""COMPUTED_VALUE"""),3.475E8)</f>
        <v>347500000</v>
      </c>
    </row>
    <row r="741">
      <c r="A741" s="31" t="str">
        <f>IFERROR(__xludf.DUMMYFUNCTION("""COMPUTED_VALUE"""),"The SpongeBob Movie: Sponge Out of Water")</f>
        <v>The SpongeBob Movie: Sponge Out of Water</v>
      </c>
      <c r="B741" s="32">
        <f>IFERROR(__xludf.DUMMYFUNCTION("""COMPUTED_VALUE"""),42041.0)</f>
        <v>42041</v>
      </c>
      <c r="C741" s="33" t="str">
        <f>IFERROR(__xludf.DUMMYFUNCTION("""COMPUTED_VALUE"""),"Comedy")</f>
        <v>Comedy</v>
      </c>
      <c r="D741" s="33">
        <f>IFERROR(__xludf.DUMMYFUNCTION("""COMPUTED_VALUE"""),7.4E7)</f>
        <v>74000000</v>
      </c>
      <c r="E741" s="33">
        <f>IFERROR(__xludf.DUMMYFUNCTION("""COMPUTED_VALUE"""),3.234E8)</f>
        <v>323400000</v>
      </c>
    </row>
    <row r="742">
      <c r="A742" s="31" t="str">
        <f>IFERROR(__xludf.DUMMYFUNCTION("""COMPUTED_VALUE"""),"The Theory of Everything")</f>
        <v>The Theory of Everything</v>
      </c>
      <c r="B742" s="32">
        <f>IFERROR(__xludf.DUMMYFUNCTION("""COMPUTED_VALUE"""),41889.0)</f>
        <v>41889</v>
      </c>
      <c r="C742" s="33" t="str">
        <f>IFERROR(__xludf.DUMMYFUNCTION("""COMPUTED_VALUE"""),"Drama")</f>
        <v>Drama</v>
      </c>
      <c r="D742" s="33">
        <f>IFERROR(__xludf.DUMMYFUNCTION("""COMPUTED_VALUE"""),1.5E7)</f>
        <v>15000000</v>
      </c>
      <c r="E742" s="33">
        <f>IFERROR(__xludf.DUMMYFUNCTION("""COMPUTED_VALUE"""),1.237E8)</f>
        <v>123700000</v>
      </c>
    </row>
    <row r="743">
      <c r="A743" s="31" t="str">
        <f>IFERROR(__xludf.DUMMYFUNCTION("""COMPUTED_VALUE"""),"The Transporter Refueled")</f>
        <v>The Transporter Refueled</v>
      </c>
      <c r="B743" s="32">
        <f>IFERROR(__xludf.DUMMYFUNCTION("""COMPUTED_VALUE"""),42251.0)</f>
        <v>42251</v>
      </c>
      <c r="C743" s="33" t="str">
        <f>IFERROR(__xludf.DUMMYFUNCTION("""COMPUTED_VALUE"""),"Thriller")</f>
        <v>Thriller</v>
      </c>
      <c r="D743" s="33">
        <f>IFERROR(__xludf.DUMMYFUNCTION("""COMPUTED_VALUE"""),2.5E7)</f>
        <v>25000000</v>
      </c>
      <c r="E743" s="33">
        <f>IFERROR(__xludf.DUMMYFUNCTION("""COMPUTED_VALUE"""),7.26E7)</f>
        <v>72600000</v>
      </c>
    </row>
    <row r="744">
      <c r="A744" s="31" t="str">
        <f>IFERROR(__xludf.DUMMYFUNCTION("""COMPUTED_VALUE"""),"The Twilight Saga: Breaking Dawn – Part 2")</f>
        <v>The Twilight Saga: Breaking Dawn – Part 2</v>
      </c>
      <c r="B744" s="32">
        <f>IFERROR(__xludf.DUMMYFUNCTION("""COMPUTED_VALUE"""),41229.0)</f>
        <v>41229</v>
      </c>
      <c r="C744" s="33" t="str">
        <f>IFERROR(__xludf.DUMMYFUNCTION("""COMPUTED_VALUE"""),"Drama")</f>
        <v>Drama</v>
      </c>
      <c r="D744" s="33">
        <f>IFERROR(__xludf.DUMMYFUNCTION("""COMPUTED_VALUE"""),1.2E8)</f>
        <v>120000000</v>
      </c>
      <c r="E744" s="33">
        <f>IFERROR(__xludf.DUMMYFUNCTION("""COMPUTED_VALUE"""),8.297E8)</f>
        <v>829700000</v>
      </c>
    </row>
    <row r="745">
      <c r="A745" s="31" t="str">
        <f>IFERROR(__xludf.DUMMYFUNCTION("""COMPUTED_VALUE"""),"The Visit")</f>
        <v>The Visit</v>
      </c>
      <c r="B745" s="32">
        <f>IFERROR(__xludf.DUMMYFUNCTION("""COMPUTED_VALUE"""),42255.0)</f>
        <v>42255</v>
      </c>
      <c r="C745" s="33" t="str">
        <f>IFERROR(__xludf.DUMMYFUNCTION("""COMPUTED_VALUE"""),"Thriller")</f>
        <v>Thriller</v>
      </c>
      <c r="D745" s="33">
        <f>IFERROR(__xludf.DUMMYFUNCTION("""COMPUTED_VALUE"""),5000000.0)</f>
        <v>5000000</v>
      </c>
      <c r="E745" s="33">
        <f>IFERROR(__xludf.DUMMYFUNCTION("""COMPUTED_VALUE"""),9.85E7)</f>
        <v>98500000</v>
      </c>
    </row>
    <row r="746">
      <c r="A746" s="31" t="str">
        <f>IFERROR(__xludf.DUMMYFUNCTION("""COMPUTED_VALUE"""),"The Way, Way Back")</f>
        <v>The Way, Way Back</v>
      </c>
      <c r="B746" s="32">
        <f>IFERROR(__xludf.DUMMYFUNCTION("""COMPUTED_VALUE"""),41460.0)</f>
        <v>41460</v>
      </c>
      <c r="C746" s="33" t="str">
        <f>IFERROR(__xludf.DUMMYFUNCTION("""COMPUTED_VALUE"""),"Drama")</f>
        <v>Drama</v>
      </c>
      <c r="D746" s="33">
        <f>IFERROR(__xludf.DUMMYFUNCTION("""COMPUTED_VALUE"""),5000000.0)</f>
        <v>5000000</v>
      </c>
      <c r="E746" s="33">
        <f>IFERROR(__xludf.DUMMYFUNCTION("""COMPUTED_VALUE"""),5000000.0)</f>
        <v>5000000</v>
      </c>
    </row>
    <row r="747">
      <c r="A747" s="31" t="str">
        <f>IFERROR(__xludf.DUMMYFUNCTION("""COMPUTED_VALUE"""),"The Wedding Ringer")</f>
        <v>The Wedding Ringer</v>
      </c>
      <c r="B747" s="32">
        <f>IFERROR(__xludf.DUMMYFUNCTION("""COMPUTED_VALUE"""),42020.0)</f>
        <v>42020</v>
      </c>
      <c r="C747" s="33" t="str">
        <f>IFERROR(__xludf.DUMMYFUNCTION("""COMPUTED_VALUE"""),"Comedy")</f>
        <v>Comedy</v>
      </c>
      <c r="D747" s="33">
        <f>IFERROR(__xludf.DUMMYFUNCTION("""COMPUTED_VALUE"""),2.3E7)</f>
        <v>23000000</v>
      </c>
      <c r="E747" s="33">
        <f>IFERROR(__xludf.DUMMYFUNCTION("""COMPUTED_VALUE"""),7.98E7)</f>
        <v>79800000</v>
      </c>
    </row>
    <row r="748">
      <c r="A748" s="31" t="str">
        <f>IFERROR(__xludf.DUMMYFUNCTION("""COMPUTED_VALUE"""),"The Wolverine")</f>
        <v>The Wolverine</v>
      </c>
      <c r="B748" s="32">
        <f>IFERROR(__xludf.DUMMYFUNCTION("""COMPUTED_VALUE"""),41479.0)</f>
        <v>41479</v>
      </c>
      <c r="C748" s="33" t="str">
        <f>IFERROR(__xludf.DUMMYFUNCTION("""COMPUTED_VALUE"""),"Adventure")</f>
        <v>Adventure</v>
      </c>
      <c r="D748" s="33">
        <f>IFERROR(__xludf.DUMMYFUNCTION("""COMPUTED_VALUE"""),1.2E8)</f>
        <v>120000000</v>
      </c>
      <c r="E748" s="33">
        <f>IFERROR(__xludf.DUMMYFUNCTION("""COMPUTED_VALUE"""),4.148E8)</f>
        <v>414800000</v>
      </c>
    </row>
    <row r="749">
      <c r="A749" s="31" t="str">
        <f>IFERROR(__xludf.DUMMYFUNCTION("""COMPUTED_VALUE"""),"The Woman in Black")</f>
        <v>The Woman in Black</v>
      </c>
      <c r="B749" s="32">
        <f>IFERROR(__xludf.DUMMYFUNCTION("""COMPUTED_VALUE"""),40942.0)</f>
        <v>40942</v>
      </c>
      <c r="C749" s="33" t="str">
        <f>IFERROR(__xludf.DUMMYFUNCTION("""COMPUTED_VALUE"""),"Thriller")</f>
        <v>Thriller</v>
      </c>
      <c r="D749" s="33">
        <f>IFERROR(__xludf.DUMMYFUNCTION("""COMPUTED_VALUE"""),1.5E7)</f>
        <v>15000000</v>
      </c>
      <c r="E749" s="33">
        <f>IFERROR(__xludf.DUMMYFUNCTION("""COMPUTED_VALUE"""),1.285E8)</f>
        <v>128500000</v>
      </c>
    </row>
    <row r="750">
      <c r="A750" s="31" t="str">
        <f>IFERROR(__xludf.DUMMYFUNCTION("""COMPUTED_VALUE"""),"The World's End")</f>
        <v>The World's End</v>
      </c>
      <c r="B750" s="32">
        <f>IFERROR(__xludf.DUMMYFUNCTION("""COMPUTED_VALUE"""),41474.0)</f>
        <v>41474</v>
      </c>
      <c r="C750" s="33" t="str">
        <f>IFERROR(__xludf.DUMMYFUNCTION("""COMPUTED_VALUE"""),"Sci-Fi")</f>
        <v>Sci-Fi</v>
      </c>
      <c r="D750" s="33">
        <f>IFERROR(__xludf.DUMMYFUNCTION("""COMPUTED_VALUE"""),2.0E7)</f>
        <v>20000000</v>
      </c>
      <c r="E750" s="33">
        <f>IFERROR(__xludf.DUMMYFUNCTION("""COMPUTED_VALUE"""),4.61E7)</f>
        <v>46100000</v>
      </c>
    </row>
    <row r="751">
      <c r="A751" s="31" t="str">
        <f>IFERROR(__xludf.DUMMYFUNCTION("""COMPUTED_VALUE"""),"Think Like a Man")</f>
        <v>Think Like a Man</v>
      </c>
      <c r="B751" s="32">
        <f>IFERROR(__xludf.DUMMYFUNCTION("""COMPUTED_VALUE"""),41019.0)</f>
        <v>41019</v>
      </c>
      <c r="C751" s="33" t="str">
        <f>IFERROR(__xludf.DUMMYFUNCTION("""COMPUTED_VALUE"""),"Romance")</f>
        <v>Romance</v>
      </c>
      <c r="D751" s="33">
        <f>IFERROR(__xludf.DUMMYFUNCTION("""COMPUTED_VALUE"""),1.2E7)</f>
        <v>12000000</v>
      </c>
      <c r="E751" s="33">
        <f>IFERROR(__xludf.DUMMYFUNCTION("""COMPUTED_VALUE"""),9.61E7)</f>
        <v>96100000</v>
      </c>
    </row>
    <row r="752">
      <c r="A752" s="31" t="str">
        <f>IFERROR(__xludf.DUMMYFUNCTION("""COMPUTED_VALUE"""),"This Is the End")</f>
        <v>This Is the End</v>
      </c>
      <c r="B752" s="32">
        <f>IFERROR(__xludf.DUMMYFUNCTION("""COMPUTED_VALUE"""),41437.0)</f>
        <v>41437</v>
      </c>
      <c r="C752" s="33" t="str">
        <f>IFERROR(__xludf.DUMMYFUNCTION("""COMPUTED_VALUE"""),"Sci-Fi")</f>
        <v>Sci-Fi</v>
      </c>
      <c r="D752" s="33">
        <f>IFERROR(__xludf.DUMMYFUNCTION("""COMPUTED_VALUE"""),3.2E7)</f>
        <v>32000000</v>
      </c>
      <c r="E752" s="33">
        <f>IFERROR(__xludf.DUMMYFUNCTION("""COMPUTED_VALUE"""),1.26E8)</f>
        <v>126000000</v>
      </c>
    </row>
    <row r="753">
      <c r="A753" s="31" t="str">
        <f>IFERROR(__xludf.DUMMYFUNCTION("""COMPUTED_VALUE"""),"This Means War")</f>
        <v>This Means War</v>
      </c>
      <c r="B753" s="32">
        <f>IFERROR(__xludf.DUMMYFUNCTION("""COMPUTED_VALUE"""),40956.0)</f>
        <v>40956</v>
      </c>
      <c r="C753" s="33" t="str">
        <f>IFERROR(__xludf.DUMMYFUNCTION("""COMPUTED_VALUE"""),"Romance")</f>
        <v>Romance</v>
      </c>
      <c r="D753" s="33">
        <f>IFERROR(__xludf.DUMMYFUNCTION("""COMPUTED_VALUE"""),6.5E7)</f>
        <v>65000000</v>
      </c>
      <c r="E753" s="33">
        <f>IFERROR(__xludf.DUMMYFUNCTION("""COMPUTED_VALUE"""),1.565E8)</f>
        <v>156500000</v>
      </c>
    </row>
    <row r="754">
      <c r="A754" s="31" t="str">
        <f>IFERROR(__xludf.DUMMYFUNCTION("""COMPUTED_VALUE"""),"Total Recall")</f>
        <v>Total Recall</v>
      </c>
      <c r="B754" s="32">
        <f>IFERROR(__xludf.DUMMYFUNCTION("""COMPUTED_VALUE"""),41124.0)</f>
        <v>41124</v>
      </c>
      <c r="C754" s="33" t="str">
        <f>IFERROR(__xludf.DUMMYFUNCTION("""COMPUTED_VALUE"""),"Sci-Fi")</f>
        <v>Sci-Fi</v>
      </c>
      <c r="D754" s="33">
        <f>IFERROR(__xludf.DUMMYFUNCTION("""COMPUTED_VALUE"""),1.25E8)</f>
        <v>125000000</v>
      </c>
      <c r="E754" s="33">
        <f>IFERROR(__xludf.DUMMYFUNCTION("""COMPUTED_VALUE"""),1.985E8)</f>
        <v>198500000</v>
      </c>
    </row>
    <row r="755">
      <c r="A755" s="31" t="str">
        <f>IFERROR(__xludf.DUMMYFUNCTION("""COMPUTED_VALUE"""),"Transcendence")</f>
        <v>Transcendence</v>
      </c>
      <c r="B755" s="32">
        <f>IFERROR(__xludf.DUMMYFUNCTION("""COMPUTED_VALUE"""),41739.0)</f>
        <v>41739</v>
      </c>
      <c r="C755" s="33" t="str">
        <f>IFERROR(__xludf.DUMMYFUNCTION("""COMPUTED_VALUE"""),"Thriller")</f>
        <v>Thriller</v>
      </c>
      <c r="D755" s="33">
        <f>IFERROR(__xludf.DUMMYFUNCTION("""COMPUTED_VALUE"""),1.0E8)</f>
        <v>100000000</v>
      </c>
      <c r="E755" s="33">
        <f>IFERROR(__xludf.DUMMYFUNCTION("""COMPUTED_VALUE"""),1.03E8)</f>
        <v>103000000</v>
      </c>
    </row>
    <row r="756">
      <c r="A756" s="31" t="str">
        <f>IFERROR(__xludf.DUMMYFUNCTION("""COMPUTED_VALUE"""),"Triple 9")</f>
        <v>Triple 9</v>
      </c>
      <c r="B756" s="32">
        <f>IFERROR(__xludf.DUMMYFUNCTION("""COMPUTED_VALUE"""),42416.0)</f>
        <v>42416</v>
      </c>
      <c r="C756" s="33" t="str">
        <f>IFERROR(__xludf.DUMMYFUNCTION("""COMPUTED_VALUE"""),"Drama")</f>
        <v>Drama</v>
      </c>
      <c r="D756" s="33">
        <f>IFERROR(__xludf.DUMMYFUNCTION("""COMPUTED_VALUE"""),2.0E7)</f>
        <v>20000000</v>
      </c>
      <c r="E756" s="33">
        <f>IFERROR(__xludf.DUMMYFUNCTION("""COMPUTED_VALUE"""),2.34E7)</f>
        <v>23400000</v>
      </c>
    </row>
    <row r="757">
      <c r="A757" s="31" t="str">
        <f>IFERROR(__xludf.DUMMYFUNCTION("""COMPUTED_VALUE"""),"Trouble with the Curve")</f>
        <v>Trouble with the Curve</v>
      </c>
      <c r="B757" s="32">
        <f>IFERROR(__xludf.DUMMYFUNCTION("""COMPUTED_VALUE"""),41173.0)</f>
        <v>41173</v>
      </c>
      <c r="C757" s="33" t="str">
        <f>IFERROR(__xludf.DUMMYFUNCTION("""COMPUTED_VALUE"""),"Sports")</f>
        <v>Sports</v>
      </c>
      <c r="D757" s="33">
        <f>IFERROR(__xludf.DUMMYFUNCTION("""COMPUTED_VALUE"""),6.0E7)</f>
        <v>60000000</v>
      </c>
      <c r="E757" s="33">
        <f>IFERROR(__xludf.DUMMYFUNCTION("""COMPUTED_VALUE"""),4.9E7)</f>
        <v>49000000</v>
      </c>
    </row>
    <row r="758">
      <c r="A758" s="31" t="str">
        <f>IFERROR(__xludf.DUMMYFUNCTION("""COMPUTED_VALUE"""),"Turbo")</f>
        <v>Turbo</v>
      </c>
      <c r="B758" s="32">
        <f>IFERROR(__xludf.DUMMYFUNCTION("""COMPUTED_VALUE"""),41472.0)</f>
        <v>41472</v>
      </c>
      <c r="C758" s="33" t="str">
        <f>IFERROR(__xludf.DUMMYFUNCTION("""COMPUTED_VALUE"""),"Family")</f>
        <v>Family</v>
      </c>
      <c r="D758" s="33">
        <f>IFERROR(__xludf.DUMMYFUNCTION("""COMPUTED_VALUE"""),1.27E8)</f>
        <v>127000000</v>
      </c>
      <c r="E758" s="33">
        <f>IFERROR(__xludf.DUMMYFUNCTION("""COMPUTED_VALUE"""),2.826E8)</f>
        <v>282600000</v>
      </c>
    </row>
    <row r="759">
      <c r="A759" s="31" t="str">
        <f>IFERROR(__xludf.DUMMYFUNCTION("""COMPUTED_VALUE"""),"Vacation")</f>
        <v>Vacation</v>
      </c>
      <c r="B759" s="32">
        <f>IFERROR(__xludf.DUMMYFUNCTION("""COMPUTED_VALUE"""),42214.0)</f>
        <v>42214</v>
      </c>
      <c r="C759" s="33" t="str">
        <f>IFERROR(__xludf.DUMMYFUNCTION("""COMPUTED_VALUE"""),"Comedy")</f>
        <v>Comedy</v>
      </c>
      <c r="D759" s="33">
        <f>IFERROR(__xludf.DUMMYFUNCTION("""COMPUTED_VALUE"""),3.1E7)</f>
        <v>31000000</v>
      </c>
      <c r="E759" s="33">
        <f>IFERROR(__xludf.DUMMYFUNCTION("""COMPUTED_VALUE"""),1.049E8)</f>
        <v>104900000</v>
      </c>
    </row>
    <row r="760">
      <c r="A760" s="31" t="str">
        <f>IFERROR(__xludf.DUMMYFUNCTION("""COMPUTED_VALUE"""),"Vampire Academy")</f>
        <v>Vampire Academy</v>
      </c>
      <c r="B760" s="32">
        <f>IFERROR(__xludf.DUMMYFUNCTION("""COMPUTED_VALUE"""),41677.0)</f>
        <v>41677</v>
      </c>
      <c r="C760" s="33" t="str">
        <f>IFERROR(__xludf.DUMMYFUNCTION("""COMPUTED_VALUE"""),"Romance")</f>
        <v>Romance</v>
      </c>
      <c r="D760" s="33">
        <f>IFERROR(__xludf.DUMMYFUNCTION("""COMPUTED_VALUE"""),3.0E7)</f>
        <v>30000000</v>
      </c>
      <c r="E760" s="33">
        <f>IFERROR(__xludf.DUMMYFUNCTION("""COMPUTED_VALUE"""),1.54E7)</f>
        <v>15400000</v>
      </c>
    </row>
    <row r="761">
      <c r="A761" s="31" t="str">
        <f>IFERROR(__xludf.DUMMYFUNCTION("""COMPUTED_VALUE"""),"Veronica Mars")</f>
        <v>Veronica Mars</v>
      </c>
      <c r="B761" s="32">
        <f>IFERROR(__xludf.DUMMYFUNCTION("""COMPUTED_VALUE"""),41712.0)</f>
        <v>41712</v>
      </c>
      <c r="C761" s="33" t="str">
        <f>IFERROR(__xludf.DUMMYFUNCTION("""COMPUTED_VALUE"""),"Drama")</f>
        <v>Drama</v>
      </c>
      <c r="D761" s="33">
        <f>IFERROR(__xludf.DUMMYFUNCTION("""COMPUTED_VALUE"""),6000000.0)</f>
        <v>6000000</v>
      </c>
      <c r="E761" s="33">
        <f>IFERROR(__xludf.DUMMYFUNCTION("""COMPUTED_VALUE"""),3500000.0)</f>
        <v>3500000</v>
      </c>
    </row>
    <row r="762">
      <c r="A762" s="31" t="str">
        <f>IFERROR(__xludf.DUMMYFUNCTION("""COMPUTED_VALUE"""),"War Dogs")</f>
        <v>War Dogs</v>
      </c>
      <c r="B762" s="32">
        <f>IFERROR(__xludf.DUMMYFUNCTION("""COMPUTED_VALUE"""),42601.0)</f>
        <v>42601</v>
      </c>
      <c r="C762" s="33" t="str">
        <f>IFERROR(__xludf.DUMMYFUNCTION("""COMPUTED_VALUE"""),"Comedy")</f>
        <v>Comedy</v>
      </c>
      <c r="D762" s="33">
        <f>IFERROR(__xludf.DUMMYFUNCTION("""COMPUTED_VALUE"""),4.0E7)</f>
        <v>40000000</v>
      </c>
      <c r="E762" s="33">
        <f>IFERROR(__xludf.DUMMYFUNCTION("""COMPUTED_VALUE"""),4.27E7)</f>
        <v>42700000</v>
      </c>
    </row>
    <row r="763">
      <c r="A763" s="31" t="str">
        <f>IFERROR(__xludf.DUMMYFUNCTION("""COMPUTED_VALUE"""),"Warcraft")</f>
        <v>Warcraft</v>
      </c>
      <c r="B763" s="32">
        <f>IFERROR(__xludf.DUMMYFUNCTION("""COMPUTED_VALUE"""),42531.0)</f>
        <v>42531</v>
      </c>
      <c r="C763" s="33" t="str">
        <f>IFERROR(__xludf.DUMMYFUNCTION("""COMPUTED_VALUE"""),"Fantasy")</f>
        <v>Fantasy</v>
      </c>
      <c r="D763" s="33">
        <f>IFERROR(__xludf.DUMMYFUNCTION("""COMPUTED_VALUE"""),1.6E8)</f>
        <v>160000000</v>
      </c>
      <c r="E763" s="33">
        <f>IFERROR(__xludf.DUMMYFUNCTION("""COMPUTED_VALUE"""),4.335E8)</f>
        <v>433500000</v>
      </c>
    </row>
    <row r="764">
      <c r="A764" s="31" t="str">
        <f>IFERROR(__xludf.DUMMYFUNCTION("""COMPUTED_VALUE"""),"Warm Bodies")</f>
        <v>Warm Bodies</v>
      </c>
      <c r="B764" s="32">
        <f>IFERROR(__xludf.DUMMYFUNCTION("""COMPUTED_VALUE"""),41306.0)</f>
        <v>41306</v>
      </c>
      <c r="C764" s="33" t="str">
        <f>IFERROR(__xludf.DUMMYFUNCTION("""COMPUTED_VALUE"""),"Horror")</f>
        <v>Horror</v>
      </c>
      <c r="D764" s="33">
        <f>IFERROR(__xludf.DUMMYFUNCTION("""COMPUTED_VALUE"""),3.5E7)</f>
        <v>35000000</v>
      </c>
      <c r="E764" s="33">
        <f>IFERROR(__xludf.DUMMYFUNCTION("""COMPUTED_VALUE"""),1.17E8)</f>
        <v>117000000</v>
      </c>
    </row>
    <row r="765">
      <c r="A765" s="31" t="str">
        <f>IFERROR(__xludf.DUMMYFUNCTION("""COMPUTED_VALUE"""),"When the Game Stands Tall")</f>
        <v>When the Game Stands Tall</v>
      </c>
      <c r="B765" s="32">
        <f>IFERROR(__xludf.DUMMYFUNCTION("""COMPUTED_VALUE"""),41855.0)</f>
        <v>41855</v>
      </c>
      <c r="C765" s="33" t="str">
        <f>IFERROR(__xludf.DUMMYFUNCTION("""COMPUTED_VALUE"""),"Drama")</f>
        <v>Drama</v>
      </c>
      <c r="D765" s="33">
        <f>IFERROR(__xludf.DUMMYFUNCTION("""COMPUTED_VALUE"""),1.5E7)</f>
        <v>15000000</v>
      </c>
      <c r="E765" s="33">
        <f>IFERROR(__xludf.DUMMYFUNCTION("""COMPUTED_VALUE"""),3.01E7)</f>
        <v>30100000</v>
      </c>
    </row>
    <row r="766">
      <c r="A766" s="31" t="str">
        <f>IFERROR(__xludf.DUMMYFUNCTION("""COMPUTED_VALUE"""),"Whiskey Tango Foxtrot")</f>
        <v>Whiskey Tango Foxtrot</v>
      </c>
      <c r="B766" s="32">
        <f>IFERROR(__xludf.DUMMYFUNCTION("""COMPUTED_VALUE"""),42433.0)</f>
        <v>42433</v>
      </c>
      <c r="C766" s="33" t="str">
        <f>IFERROR(__xludf.DUMMYFUNCTION("""COMPUTED_VALUE"""),"Comedy")</f>
        <v>Comedy</v>
      </c>
      <c r="D766" s="33">
        <f>IFERROR(__xludf.DUMMYFUNCTION("""COMPUTED_VALUE"""),3.5E7)</f>
        <v>35000000</v>
      </c>
      <c r="E766" s="33">
        <f>IFERROR(__xludf.DUMMYFUNCTION("""COMPUTED_VALUE"""),2.49E7)</f>
        <v>24900000</v>
      </c>
    </row>
    <row r="767">
      <c r="A767" s="31" t="str">
        <f>IFERROR(__xludf.DUMMYFUNCTION("""COMPUTED_VALUE"""),"Winter's Tale")</f>
        <v>Winter's Tale</v>
      </c>
      <c r="B767" s="32">
        <f>IFERROR(__xludf.DUMMYFUNCTION("""COMPUTED_VALUE"""),41683.0)</f>
        <v>41683</v>
      </c>
      <c r="C767" s="33" t="str">
        <f>IFERROR(__xludf.DUMMYFUNCTION("""COMPUTED_VALUE"""),"Fantasy")</f>
        <v>Fantasy</v>
      </c>
      <c r="D767" s="33">
        <f>IFERROR(__xludf.DUMMYFUNCTION("""COMPUTED_VALUE"""),6.0E7)</f>
        <v>60000000</v>
      </c>
      <c r="E767" s="33">
        <f>IFERROR(__xludf.DUMMYFUNCTION("""COMPUTED_VALUE"""),3.11E7)</f>
        <v>31100000</v>
      </c>
    </row>
    <row r="768">
      <c r="A768" s="31" t="str">
        <f>IFERROR(__xludf.DUMMYFUNCTION("""COMPUTED_VALUE"""),"Wish I Was Here")</f>
        <v>Wish I Was Here</v>
      </c>
      <c r="B768" s="32">
        <f>IFERROR(__xludf.DUMMYFUNCTION("""COMPUTED_VALUE"""),41657.0)</f>
        <v>41657</v>
      </c>
      <c r="C768" s="33" t="str">
        <f>IFERROR(__xludf.DUMMYFUNCTION("""COMPUTED_VALUE"""),"Comedy")</f>
        <v>Comedy</v>
      </c>
      <c r="D768" s="33">
        <f>IFERROR(__xludf.DUMMYFUNCTION("""COMPUTED_VALUE"""),6000000.0)</f>
        <v>6000000</v>
      </c>
      <c r="E768" s="33">
        <f>IFERROR(__xludf.DUMMYFUNCTION("""COMPUTED_VALUE"""),5500000.0)</f>
        <v>5500000</v>
      </c>
    </row>
    <row r="769">
      <c r="A769" s="31" t="str">
        <f>IFERROR(__xludf.DUMMYFUNCTION("""COMPUTED_VALUE"""),"World War Z")</f>
        <v>World War Z</v>
      </c>
      <c r="B769" s="32">
        <f>IFERROR(__xludf.DUMMYFUNCTION("""COMPUTED_VALUE"""),41446.0)</f>
        <v>41446</v>
      </c>
      <c r="C769" s="33" t="str">
        <f>IFERROR(__xludf.DUMMYFUNCTION("""COMPUTED_VALUE"""),"Horror")</f>
        <v>Horror</v>
      </c>
      <c r="D769" s="33">
        <f>IFERROR(__xludf.DUMMYFUNCTION("""COMPUTED_VALUE"""),1.9E8)</f>
        <v>190000000</v>
      </c>
      <c r="E769" s="33">
        <f>IFERROR(__xludf.DUMMYFUNCTION("""COMPUTED_VALUE"""),5.4E8)</f>
        <v>540000000</v>
      </c>
    </row>
    <row r="770">
      <c r="A770" s="31" t="str">
        <f>IFERROR(__xludf.DUMMYFUNCTION("""COMPUTED_VALUE"""),"Wrath of the Titans")</f>
        <v>Wrath of the Titans</v>
      </c>
      <c r="B770" s="32">
        <f>IFERROR(__xludf.DUMMYFUNCTION("""COMPUTED_VALUE"""),40998.0)</f>
        <v>40998</v>
      </c>
      <c r="C770" s="33" t="str">
        <f>IFERROR(__xludf.DUMMYFUNCTION("""COMPUTED_VALUE"""),"Adventure")</f>
        <v>Adventure</v>
      </c>
      <c r="D770" s="33">
        <f>IFERROR(__xludf.DUMMYFUNCTION("""COMPUTED_VALUE"""),1.5E8)</f>
        <v>150000000</v>
      </c>
      <c r="E770" s="33">
        <f>IFERROR(__xludf.DUMMYFUNCTION("""COMPUTED_VALUE"""),3.053E8)</f>
        <v>305300000</v>
      </c>
    </row>
    <row r="771">
      <c r="A771" s="31" t="str">
        <f>IFERROR(__xludf.DUMMYFUNCTION("""COMPUTED_VALUE"""),"X-Men: Days of Future Past")</f>
        <v>X-Men: Days of Future Past</v>
      </c>
      <c r="B771" s="32">
        <f>IFERROR(__xludf.DUMMYFUNCTION("""COMPUTED_VALUE"""),41769.0)</f>
        <v>41769</v>
      </c>
      <c r="C771" s="33" t="str">
        <f>IFERROR(__xludf.DUMMYFUNCTION("""COMPUTED_VALUE"""),"Adventure")</f>
        <v>Adventure</v>
      </c>
      <c r="D771" s="33">
        <f>IFERROR(__xludf.DUMMYFUNCTION("""COMPUTED_VALUE"""),2.0E8)</f>
        <v>200000000</v>
      </c>
      <c r="E771" s="33">
        <f>IFERROR(__xludf.DUMMYFUNCTION("""COMPUTED_VALUE"""),7.479E8)</f>
        <v>747900000</v>
      </c>
    </row>
    <row r="772">
      <c r="A772" s="31" t="str">
        <f>IFERROR(__xludf.DUMMYFUNCTION("""COMPUTED_VALUE"""),"Zhong Kui: Snow Girl and the Dark Crystal")</f>
        <v>Zhong Kui: Snow Girl and the Dark Crystal</v>
      </c>
      <c r="B772" s="32">
        <f>IFERROR(__xludf.DUMMYFUNCTION("""COMPUTED_VALUE"""),42054.0)</f>
        <v>42054</v>
      </c>
      <c r="C772" s="33" t="str">
        <f>IFERROR(__xludf.DUMMYFUNCTION("""COMPUTED_VALUE"""),"Fantasy")</f>
        <v>Fantasy</v>
      </c>
      <c r="D772" s="33">
        <f>IFERROR(__xludf.DUMMYFUNCTION("""COMPUTED_VALUE"""),3.0E7)</f>
        <v>30000000</v>
      </c>
      <c r="E772" s="33">
        <f>IFERROR(__xludf.DUMMYFUNCTION("""COMPUTED_VALUE"""),6.447E7)</f>
        <v>64470000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5.25"/>
    <col customWidth="1" min="2" max="2" width="15.63"/>
    <col customWidth="1" min="3" max="3" width="15.25"/>
    <col customWidth="1" min="5" max="5" width="14.38"/>
    <col customWidth="1" min="6" max="8" width="12.13"/>
  </cols>
  <sheetData>
    <row r="1">
      <c r="A1" s="29"/>
      <c r="B1" s="34" t="s">
        <v>2854</v>
      </c>
      <c r="C1" s="34" t="s">
        <v>2855</v>
      </c>
      <c r="D1" s="34" t="s">
        <v>2856</v>
      </c>
      <c r="E1" s="34" t="s">
        <v>2857</v>
      </c>
      <c r="F1" s="34" t="s">
        <v>2858</v>
      </c>
      <c r="G1" s="34" t="s">
        <v>2859</v>
      </c>
      <c r="H1" s="34" t="s">
        <v>2860</v>
      </c>
      <c r="I1" s="34" t="s">
        <v>2861</v>
      </c>
      <c r="J1" s="34" t="s">
        <v>2862</v>
      </c>
      <c r="K1" s="34" t="s">
        <v>1327</v>
      </c>
      <c r="L1" s="29"/>
      <c r="M1" s="29"/>
      <c r="N1" s="29"/>
      <c r="O1" s="29"/>
      <c r="P1" s="29"/>
      <c r="Q1" s="29"/>
      <c r="R1" s="29"/>
      <c r="S1" s="29"/>
      <c r="T1" s="29"/>
    </row>
    <row r="2">
      <c r="A2" s="34" t="s">
        <v>2863</v>
      </c>
      <c r="B2" s="1">
        <f>STDEV(Data!M1:M1000)</f>
        <v>49198592.03</v>
      </c>
      <c r="C2" s="1">
        <f>AVERAGE(Data!M1:M1000)</f>
        <v>48871397.64</v>
      </c>
      <c r="D2" s="1">
        <f>MEDIAN(Data!$M1:$M1000)</f>
        <v>30000000</v>
      </c>
      <c r="E2" s="1">
        <f>MODE(Data!$M1:$M1000)</f>
        <v>20000000</v>
      </c>
      <c r="F2" s="35" t="s">
        <v>2863</v>
      </c>
      <c r="G2" s="1">
        <f>MIN(Data!$M1:$M1000)</f>
        <v>1000000</v>
      </c>
      <c r="H2" s="1">
        <f>QUARTILE(Data!$M1:$M1000, 1)</f>
        <v>14000000</v>
      </c>
      <c r="I2" s="1">
        <f>QUARTILE(Data!$M1:$M1000, 2)</f>
        <v>30000000</v>
      </c>
      <c r="J2" s="1">
        <f>QUARTILE(Data!$M1:$M1000, 3)</f>
        <v>65000000</v>
      </c>
      <c r="K2" s="1">
        <f>MAX(Data!$M1:$M1000)</f>
        <v>250000000</v>
      </c>
    </row>
    <row r="3">
      <c r="A3" s="34" t="s">
        <v>2864</v>
      </c>
      <c r="B3" s="1">
        <f>STDEV(Data!O2:O1000)</f>
        <v>183255470.1</v>
      </c>
      <c r="C3" s="1">
        <f>AVERAGE(Data!$O2:$O1000)</f>
        <v>151983208.7</v>
      </c>
      <c r="D3" s="1">
        <f>MEDIAN(Data!$O2:$O1000)</f>
        <v>79350000</v>
      </c>
      <c r="E3" s="1">
        <f>MODE(Data!$O2:$O1000)</f>
        <v>97500000</v>
      </c>
      <c r="F3" s="36" t="s">
        <v>2865</v>
      </c>
      <c r="G3" s="1">
        <f>MIN(Data!$O1:$O1000)</f>
        <v>1000000</v>
      </c>
      <c r="H3" s="1">
        <f>Quartile(Data!$O1:$O1000,1)</f>
        <v>31100000</v>
      </c>
      <c r="I3" s="1">
        <f>Quartile(Data!$O1:$O1000,2)</f>
        <v>79350000</v>
      </c>
      <c r="J3" s="1">
        <f>Quartile(Data!$O1:$O1000,3)</f>
        <v>203725000</v>
      </c>
      <c r="K3" s="1">
        <f>MAX(Data!$O1:$O1000)</f>
        <v>970800000</v>
      </c>
    </row>
    <row r="4">
      <c r="A4" s="29"/>
    </row>
    <row r="5">
      <c r="A5" s="29"/>
    </row>
    <row r="6">
      <c r="A6" s="29"/>
    </row>
    <row r="7">
      <c r="A7" s="29"/>
    </row>
    <row r="8">
      <c r="A8" s="29"/>
    </row>
    <row r="9">
      <c r="A9" s="29"/>
    </row>
    <row r="10">
      <c r="A10" s="29"/>
    </row>
    <row r="11">
      <c r="A11" s="29"/>
    </row>
    <row r="12">
      <c r="A12" s="29"/>
    </row>
    <row r="13">
      <c r="A13" s="29"/>
    </row>
    <row r="14">
      <c r="A14" s="29"/>
    </row>
    <row r="15">
      <c r="A15" s="29"/>
    </row>
    <row r="16">
      <c r="A16" s="29"/>
    </row>
    <row r="17">
      <c r="A17" s="29"/>
    </row>
    <row r="18">
      <c r="A18" s="29"/>
    </row>
    <row r="19">
      <c r="A19" s="29"/>
    </row>
    <row r="20">
      <c r="A20" s="29"/>
    </row>
    <row r="21">
      <c r="A21" s="29"/>
    </row>
    <row r="22">
      <c r="A22" s="29"/>
    </row>
    <row r="23">
      <c r="A23" s="29"/>
    </row>
    <row r="24">
      <c r="A24" s="29"/>
    </row>
    <row r="25">
      <c r="A25" s="29"/>
    </row>
    <row r="26">
      <c r="A26" s="29"/>
    </row>
    <row r="27">
      <c r="A27" s="29"/>
    </row>
    <row r="28">
      <c r="A28" s="29"/>
    </row>
    <row r="29">
      <c r="A29" s="29"/>
    </row>
    <row r="30">
      <c r="A30" s="29"/>
    </row>
    <row r="31">
      <c r="A31" s="29"/>
    </row>
    <row r="32">
      <c r="A32" s="29"/>
    </row>
    <row r="33">
      <c r="A33" s="29"/>
    </row>
    <row r="34">
      <c r="A34" s="29"/>
    </row>
    <row r="35">
      <c r="A35" s="29"/>
    </row>
    <row r="36">
      <c r="A36" s="29"/>
    </row>
    <row r="37">
      <c r="A37" s="29"/>
    </row>
    <row r="38">
      <c r="A38" s="29"/>
    </row>
    <row r="39">
      <c r="A39" s="29"/>
    </row>
    <row r="40">
      <c r="A40" s="29"/>
    </row>
    <row r="41">
      <c r="A41" s="29"/>
    </row>
    <row r="42">
      <c r="A42" s="29"/>
    </row>
    <row r="43">
      <c r="A43" s="29"/>
    </row>
    <row r="44">
      <c r="A44" s="29"/>
    </row>
    <row r="45">
      <c r="A45" s="29"/>
    </row>
    <row r="46">
      <c r="A46" s="29"/>
    </row>
    <row r="47">
      <c r="A47" s="29"/>
    </row>
    <row r="48">
      <c r="A48" s="29"/>
    </row>
    <row r="49">
      <c r="A49" s="29"/>
    </row>
    <row r="50">
      <c r="A50" s="29"/>
    </row>
    <row r="51">
      <c r="A51" s="29"/>
    </row>
    <row r="52">
      <c r="A52" s="29"/>
    </row>
    <row r="53">
      <c r="A53" s="29"/>
    </row>
    <row r="54">
      <c r="A54" s="29"/>
    </row>
    <row r="55">
      <c r="A55" s="29"/>
    </row>
    <row r="56">
      <c r="A56" s="29"/>
    </row>
    <row r="57">
      <c r="A57" s="29"/>
    </row>
    <row r="58">
      <c r="A58" s="29"/>
    </row>
    <row r="59">
      <c r="A59" s="29"/>
    </row>
    <row r="60">
      <c r="A60" s="29"/>
    </row>
    <row r="61">
      <c r="A61" s="29"/>
    </row>
    <row r="62">
      <c r="A62" s="29"/>
    </row>
    <row r="63">
      <c r="A63" s="29"/>
    </row>
    <row r="64">
      <c r="A64" s="29"/>
    </row>
    <row r="65">
      <c r="A65" s="29"/>
    </row>
    <row r="66">
      <c r="A66" s="29"/>
    </row>
    <row r="67">
      <c r="A67" s="29"/>
    </row>
    <row r="68">
      <c r="A68" s="29"/>
    </row>
    <row r="69">
      <c r="A69" s="29"/>
    </row>
    <row r="70">
      <c r="A70" s="29"/>
    </row>
    <row r="71">
      <c r="A71" s="29"/>
    </row>
    <row r="72">
      <c r="A72" s="29"/>
    </row>
    <row r="73">
      <c r="A73" s="29"/>
    </row>
    <row r="74">
      <c r="A74" s="29"/>
    </row>
    <row r="75">
      <c r="A75" s="29"/>
    </row>
    <row r="76">
      <c r="A76" s="29"/>
    </row>
    <row r="77">
      <c r="A77" s="29"/>
    </row>
    <row r="78">
      <c r="A78" s="29"/>
    </row>
    <row r="79">
      <c r="A79" s="29"/>
    </row>
    <row r="80">
      <c r="A80" s="29"/>
    </row>
    <row r="81">
      <c r="A81" s="29"/>
    </row>
    <row r="82">
      <c r="A82" s="29"/>
    </row>
    <row r="83">
      <c r="A83" s="29"/>
    </row>
    <row r="84">
      <c r="A84" s="29"/>
    </row>
    <row r="85">
      <c r="A85" s="29"/>
    </row>
    <row r="86">
      <c r="A86" s="29"/>
    </row>
    <row r="87">
      <c r="A87" s="29"/>
    </row>
    <row r="88">
      <c r="A88" s="29"/>
    </row>
    <row r="89">
      <c r="A89" s="29"/>
    </row>
    <row r="90">
      <c r="A90" s="29"/>
    </row>
    <row r="91">
      <c r="A91" s="29"/>
    </row>
    <row r="92">
      <c r="A92" s="29"/>
    </row>
    <row r="93">
      <c r="A93" s="29"/>
    </row>
    <row r="94">
      <c r="A94" s="29"/>
    </row>
    <row r="95">
      <c r="A95" s="29"/>
    </row>
    <row r="96">
      <c r="A96" s="29"/>
    </row>
    <row r="97">
      <c r="A97" s="29"/>
    </row>
    <row r="98">
      <c r="A98" s="29"/>
    </row>
    <row r="99">
      <c r="A99" s="29"/>
    </row>
    <row r="100">
      <c r="A100" s="29"/>
    </row>
    <row r="101">
      <c r="A101" s="29"/>
    </row>
    <row r="102">
      <c r="A102" s="29"/>
    </row>
    <row r="103">
      <c r="A103" s="29"/>
    </row>
    <row r="104">
      <c r="A104" s="29"/>
    </row>
    <row r="105">
      <c r="A105" s="29"/>
    </row>
    <row r="106">
      <c r="A106" s="29"/>
    </row>
    <row r="107">
      <c r="A107" s="29"/>
    </row>
    <row r="108">
      <c r="A108" s="29"/>
    </row>
    <row r="109">
      <c r="A109" s="29"/>
    </row>
    <row r="110">
      <c r="A110" s="29"/>
    </row>
    <row r="111">
      <c r="A111" s="29"/>
    </row>
    <row r="112">
      <c r="A112" s="29"/>
    </row>
    <row r="113">
      <c r="A113" s="29"/>
    </row>
    <row r="114">
      <c r="A114" s="29"/>
    </row>
    <row r="115">
      <c r="A115" s="29"/>
    </row>
    <row r="116">
      <c r="A116" s="29"/>
    </row>
    <row r="117">
      <c r="A117" s="29"/>
    </row>
    <row r="118">
      <c r="A118" s="29"/>
    </row>
    <row r="119">
      <c r="A119" s="29"/>
    </row>
    <row r="120">
      <c r="A120" s="29"/>
    </row>
    <row r="121">
      <c r="A121" s="29"/>
    </row>
    <row r="122">
      <c r="A122" s="29"/>
    </row>
    <row r="123">
      <c r="A123" s="29"/>
    </row>
    <row r="124">
      <c r="A124" s="29"/>
    </row>
    <row r="125">
      <c r="A125" s="29"/>
    </row>
    <row r="126">
      <c r="A126" s="29"/>
    </row>
    <row r="127">
      <c r="A127" s="29"/>
    </row>
    <row r="128">
      <c r="A128" s="29"/>
    </row>
    <row r="129">
      <c r="A129" s="29"/>
    </row>
    <row r="130">
      <c r="A130" s="29"/>
    </row>
    <row r="131">
      <c r="A131" s="29"/>
    </row>
    <row r="132">
      <c r="A132" s="29"/>
    </row>
    <row r="133">
      <c r="A133" s="29"/>
    </row>
    <row r="134">
      <c r="A134" s="29"/>
    </row>
    <row r="135">
      <c r="A135" s="29"/>
    </row>
    <row r="136">
      <c r="A136" s="29"/>
    </row>
    <row r="137">
      <c r="A137" s="29"/>
    </row>
    <row r="138">
      <c r="A138" s="29"/>
    </row>
    <row r="139">
      <c r="A139" s="29"/>
    </row>
    <row r="140">
      <c r="A140" s="29"/>
    </row>
    <row r="141">
      <c r="A141" s="29"/>
    </row>
    <row r="142">
      <c r="A142" s="29"/>
    </row>
    <row r="143">
      <c r="A143" s="29"/>
    </row>
    <row r="144">
      <c r="A144" s="29"/>
    </row>
    <row r="145">
      <c r="A145" s="29"/>
    </row>
    <row r="146">
      <c r="A146" s="29"/>
    </row>
    <row r="147">
      <c r="A147" s="29"/>
    </row>
    <row r="148">
      <c r="A148" s="29"/>
    </row>
    <row r="149">
      <c r="A149" s="29"/>
    </row>
    <row r="150">
      <c r="A150" s="29"/>
    </row>
    <row r="151">
      <c r="A151" s="29"/>
    </row>
    <row r="152">
      <c r="A152" s="29"/>
    </row>
    <row r="153">
      <c r="A153" s="29"/>
    </row>
    <row r="154">
      <c r="A154" s="29"/>
    </row>
    <row r="155">
      <c r="A155" s="29"/>
    </row>
    <row r="156">
      <c r="A156" s="29"/>
    </row>
    <row r="157">
      <c r="A157" s="29"/>
    </row>
    <row r="158">
      <c r="A158" s="29"/>
    </row>
    <row r="159">
      <c r="A159" s="29"/>
    </row>
    <row r="160">
      <c r="A160" s="29"/>
    </row>
    <row r="161">
      <c r="A161" s="29"/>
    </row>
    <row r="162">
      <c r="A162" s="29"/>
    </row>
    <row r="163">
      <c r="A163" s="29"/>
    </row>
    <row r="164">
      <c r="A164" s="29"/>
    </row>
    <row r="165">
      <c r="A165" s="29"/>
    </row>
    <row r="166">
      <c r="A166" s="29"/>
    </row>
    <row r="167">
      <c r="A167" s="29"/>
    </row>
    <row r="168">
      <c r="A168" s="29"/>
    </row>
    <row r="169">
      <c r="A169" s="29"/>
    </row>
    <row r="170">
      <c r="A170" s="29"/>
    </row>
    <row r="171">
      <c r="A171" s="29"/>
    </row>
    <row r="172">
      <c r="A172" s="29"/>
    </row>
    <row r="173">
      <c r="A173" s="29"/>
    </row>
    <row r="174">
      <c r="A174" s="29"/>
    </row>
    <row r="175">
      <c r="A175" s="29"/>
    </row>
    <row r="176">
      <c r="A176" s="29"/>
    </row>
    <row r="177">
      <c r="A177" s="29"/>
    </row>
    <row r="178">
      <c r="A178" s="29"/>
    </row>
    <row r="179">
      <c r="A179" s="29"/>
    </row>
    <row r="180">
      <c r="A180" s="29"/>
    </row>
    <row r="181">
      <c r="A181" s="29"/>
    </row>
    <row r="182">
      <c r="A182" s="29"/>
    </row>
    <row r="183">
      <c r="A183" s="29"/>
    </row>
    <row r="184">
      <c r="A184" s="29"/>
    </row>
    <row r="185">
      <c r="A185" s="29"/>
    </row>
    <row r="186">
      <c r="A186" s="29"/>
    </row>
    <row r="187">
      <c r="A187" s="29"/>
    </row>
    <row r="188">
      <c r="A188" s="29"/>
    </row>
    <row r="189">
      <c r="A189" s="29"/>
    </row>
    <row r="190">
      <c r="A190" s="29"/>
    </row>
    <row r="191">
      <c r="A191" s="29"/>
    </row>
    <row r="192">
      <c r="A192" s="29"/>
    </row>
    <row r="193">
      <c r="A193" s="29"/>
    </row>
    <row r="194">
      <c r="A194" s="29"/>
    </row>
    <row r="195">
      <c r="A195" s="29"/>
    </row>
    <row r="196">
      <c r="A196" s="29"/>
    </row>
    <row r="197">
      <c r="A197" s="29"/>
    </row>
    <row r="198">
      <c r="A198" s="29"/>
    </row>
    <row r="199">
      <c r="A199" s="29"/>
    </row>
    <row r="200">
      <c r="A200" s="29"/>
    </row>
    <row r="201">
      <c r="A201" s="29"/>
    </row>
    <row r="202">
      <c r="A202" s="29"/>
    </row>
    <row r="203">
      <c r="A203" s="29"/>
    </row>
    <row r="204">
      <c r="A204" s="29"/>
    </row>
    <row r="205">
      <c r="A205" s="29"/>
    </row>
    <row r="206">
      <c r="A206" s="29"/>
    </row>
    <row r="207">
      <c r="A207" s="29"/>
    </row>
    <row r="208">
      <c r="A208" s="29"/>
    </row>
    <row r="209">
      <c r="A209" s="29"/>
    </row>
    <row r="210">
      <c r="A210" s="29"/>
    </row>
    <row r="211">
      <c r="A211" s="29"/>
    </row>
    <row r="212">
      <c r="A212" s="29"/>
    </row>
    <row r="213">
      <c r="A213" s="29"/>
    </row>
    <row r="214">
      <c r="A214" s="29"/>
    </row>
    <row r="215">
      <c r="A215" s="29"/>
    </row>
    <row r="216">
      <c r="A216" s="29"/>
    </row>
    <row r="217">
      <c r="A217" s="29"/>
    </row>
    <row r="218">
      <c r="A218" s="29"/>
    </row>
    <row r="219">
      <c r="A219" s="29"/>
    </row>
    <row r="220">
      <c r="A220" s="29"/>
    </row>
    <row r="221">
      <c r="A221" s="29"/>
    </row>
    <row r="222">
      <c r="A222" s="29"/>
    </row>
    <row r="223">
      <c r="A223" s="29"/>
    </row>
    <row r="224">
      <c r="A224" s="29"/>
    </row>
    <row r="225">
      <c r="A225" s="29"/>
    </row>
    <row r="226">
      <c r="A226" s="29"/>
    </row>
    <row r="227">
      <c r="A227" s="29"/>
    </row>
    <row r="228">
      <c r="A228" s="29"/>
    </row>
    <row r="229">
      <c r="A229" s="29"/>
    </row>
    <row r="230">
      <c r="A230" s="29"/>
    </row>
    <row r="231">
      <c r="A231" s="29"/>
    </row>
    <row r="232">
      <c r="A232" s="29"/>
    </row>
    <row r="233">
      <c r="A233" s="29"/>
    </row>
    <row r="234">
      <c r="A234" s="29"/>
    </row>
    <row r="235">
      <c r="A235" s="29"/>
    </row>
    <row r="236">
      <c r="A236" s="29"/>
    </row>
    <row r="237">
      <c r="A237" s="29"/>
    </row>
    <row r="238">
      <c r="A238" s="29"/>
    </row>
    <row r="239">
      <c r="A239" s="29"/>
    </row>
    <row r="240">
      <c r="A240" s="29"/>
    </row>
    <row r="241">
      <c r="A241" s="29"/>
    </row>
    <row r="242">
      <c r="A242" s="29"/>
    </row>
    <row r="243">
      <c r="A243" s="29"/>
    </row>
    <row r="244">
      <c r="A244" s="29"/>
    </row>
    <row r="245">
      <c r="A245" s="29"/>
    </row>
    <row r="246">
      <c r="A246" s="29"/>
    </row>
    <row r="247">
      <c r="A247" s="29"/>
    </row>
    <row r="248">
      <c r="A248" s="29"/>
    </row>
    <row r="249">
      <c r="A249" s="29"/>
    </row>
    <row r="250">
      <c r="A250" s="29"/>
    </row>
    <row r="251">
      <c r="A251" s="29"/>
    </row>
    <row r="252">
      <c r="A252" s="29"/>
    </row>
    <row r="253">
      <c r="A253" s="29"/>
    </row>
    <row r="254">
      <c r="A254" s="29"/>
    </row>
    <row r="255">
      <c r="A255" s="29"/>
    </row>
    <row r="256">
      <c r="A256" s="29"/>
    </row>
    <row r="257">
      <c r="A257" s="29"/>
    </row>
    <row r="258">
      <c r="A258" s="29"/>
    </row>
    <row r="259">
      <c r="A259" s="29"/>
    </row>
    <row r="260">
      <c r="A260" s="29"/>
    </row>
    <row r="261">
      <c r="A261" s="29"/>
    </row>
    <row r="262">
      <c r="A262" s="29"/>
    </row>
    <row r="263">
      <c r="A263" s="29"/>
    </row>
    <row r="264">
      <c r="A264" s="29"/>
    </row>
    <row r="265">
      <c r="A265" s="29"/>
    </row>
    <row r="266">
      <c r="A266" s="29"/>
    </row>
    <row r="267">
      <c r="A267" s="29"/>
    </row>
    <row r="268">
      <c r="A268" s="29"/>
    </row>
    <row r="269">
      <c r="A269" s="29"/>
    </row>
    <row r="270">
      <c r="A270" s="29"/>
    </row>
    <row r="271">
      <c r="A271" s="29"/>
    </row>
    <row r="272">
      <c r="A272" s="29"/>
    </row>
    <row r="273">
      <c r="A273" s="29"/>
    </row>
    <row r="274">
      <c r="A274" s="29"/>
    </row>
    <row r="275">
      <c r="A275" s="29"/>
    </row>
    <row r="276">
      <c r="A276" s="29"/>
    </row>
    <row r="277">
      <c r="A277" s="29"/>
    </row>
    <row r="278">
      <c r="A278" s="29"/>
    </row>
    <row r="279">
      <c r="A279" s="29"/>
    </row>
    <row r="280">
      <c r="A280" s="29"/>
    </row>
    <row r="281">
      <c r="A281" s="29"/>
    </row>
    <row r="282">
      <c r="A282" s="29"/>
    </row>
    <row r="283">
      <c r="A283" s="29"/>
    </row>
    <row r="284">
      <c r="A284" s="29"/>
    </row>
    <row r="285">
      <c r="A285" s="29"/>
    </row>
    <row r="286">
      <c r="A286" s="29"/>
    </row>
    <row r="287">
      <c r="A287" s="29"/>
    </row>
    <row r="288">
      <c r="A288" s="29"/>
    </row>
    <row r="289">
      <c r="A289" s="29"/>
    </row>
    <row r="290">
      <c r="A290" s="29"/>
    </row>
    <row r="291">
      <c r="A291" s="29"/>
    </row>
    <row r="292">
      <c r="A292" s="29"/>
    </row>
    <row r="293">
      <c r="A293" s="29"/>
    </row>
    <row r="294">
      <c r="A294" s="29"/>
    </row>
    <row r="295">
      <c r="A295" s="29"/>
    </row>
    <row r="296">
      <c r="A296" s="29"/>
    </row>
    <row r="297">
      <c r="A297" s="29"/>
    </row>
    <row r="298">
      <c r="A298" s="29"/>
    </row>
    <row r="299">
      <c r="A299" s="29"/>
    </row>
    <row r="300">
      <c r="A300" s="29"/>
    </row>
    <row r="301">
      <c r="A301" s="29"/>
    </row>
    <row r="302">
      <c r="A302" s="29"/>
    </row>
    <row r="303">
      <c r="A303" s="29"/>
    </row>
    <row r="304">
      <c r="A304" s="29"/>
    </row>
    <row r="305">
      <c r="A305" s="29"/>
    </row>
    <row r="306">
      <c r="A306" s="29"/>
    </row>
    <row r="307">
      <c r="A307" s="29"/>
    </row>
    <row r="308">
      <c r="A308" s="29"/>
    </row>
    <row r="309">
      <c r="A309" s="29"/>
    </row>
    <row r="310">
      <c r="A310" s="29"/>
    </row>
    <row r="311">
      <c r="A311" s="29"/>
    </row>
    <row r="312">
      <c r="A312" s="29"/>
    </row>
    <row r="313">
      <c r="A313" s="29"/>
    </row>
    <row r="314">
      <c r="A314" s="29"/>
    </row>
    <row r="315">
      <c r="A315" s="29"/>
    </row>
    <row r="316">
      <c r="A316" s="29"/>
    </row>
    <row r="317">
      <c r="A317" s="29"/>
    </row>
    <row r="318">
      <c r="A318" s="29"/>
    </row>
    <row r="319">
      <c r="A319" s="29"/>
    </row>
    <row r="320">
      <c r="A320" s="29"/>
    </row>
    <row r="321">
      <c r="A321" s="29"/>
    </row>
    <row r="322">
      <c r="A322" s="29"/>
    </row>
    <row r="323">
      <c r="A323" s="29"/>
    </row>
    <row r="324">
      <c r="A324" s="29"/>
    </row>
    <row r="325">
      <c r="A325" s="29"/>
    </row>
    <row r="326">
      <c r="A326" s="29"/>
    </row>
    <row r="327">
      <c r="A327" s="29"/>
    </row>
    <row r="328">
      <c r="A328" s="29"/>
    </row>
    <row r="329">
      <c r="A329" s="29"/>
    </row>
    <row r="330">
      <c r="A330" s="29"/>
    </row>
    <row r="331">
      <c r="A331" s="29"/>
    </row>
    <row r="332">
      <c r="A332" s="29"/>
    </row>
    <row r="333">
      <c r="A333" s="29"/>
    </row>
    <row r="334">
      <c r="A334" s="29"/>
    </row>
    <row r="335">
      <c r="A335" s="29"/>
    </row>
    <row r="336">
      <c r="A336" s="29"/>
    </row>
    <row r="337">
      <c r="A337" s="29"/>
    </row>
    <row r="338">
      <c r="A338" s="29"/>
    </row>
    <row r="339">
      <c r="A339" s="29"/>
    </row>
    <row r="340">
      <c r="A340" s="29"/>
    </row>
    <row r="341">
      <c r="A341" s="29"/>
    </row>
    <row r="342">
      <c r="A342" s="29"/>
    </row>
    <row r="343">
      <c r="A343" s="29"/>
    </row>
    <row r="344">
      <c r="A344" s="29"/>
    </row>
    <row r="345">
      <c r="A345" s="29"/>
    </row>
    <row r="346">
      <c r="A346" s="29"/>
    </row>
    <row r="347">
      <c r="A347" s="29"/>
    </row>
    <row r="348">
      <c r="A348" s="29"/>
    </row>
    <row r="349">
      <c r="A349" s="29"/>
    </row>
    <row r="350">
      <c r="A350" s="29"/>
    </row>
    <row r="351">
      <c r="A351" s="29"/>
    </row>
    <row r="352">
      <c r="A352" s="29"/>
    </row>
    <row r="353">
      <c r="A353" s="29"/>
    </row>
    <row r="354">
      <c r="A354" s="29"/>
    </row>
    <row r="355">
      <c r="A355" s="29"/>
    </row>
    <row r="356">
      <c r="A356" s="29"/>
    </row>
    <row r="357">
      <c r="A357" s="29"/>
    </row>
    <row r="358">
      <c r="A358" s="29"/>
    </row>
    <row r="359">
      <c r="A359" s="29"/>
    </row>
    <row r="360">
      <c r="A360" s="29"/>
    </row>
    <row r="361">
      <c r="A361" s="29"/>
    </row>
    <row r="362">
      <c r="A362" s="29"/>
    </row>
    <row r="363">
      <c r="A363" s="29"/>
    </row>
    <row r="364">
      <c r="A364" s="29"/>
    </row>
    <row r="365">
      <c r="A365" s="29"/>
    </row>
    <row r="366">
      <c r="A366" s="29"/>
    </row>
    <row r="367">
      <c r="A367" s="29"/>
    </row>
    <row r="368">
      <c r="A368" s="29"/>
    </row>
    <row r="369">
      <c r="A369" s="29"/>
    </row>
    <row r="370">
      <c r="A370" s="29"/>
    </row>
    <row r="371">
      <c r="A371" s="29"/>
    </row>
    <row r="372">
      <c r="A372" s="29"/>
    </row>
    <row r="373">
      <c r="A373" s="29"/>
    </row>
    <row r="374">
      <c r="A374" s="29"/>
    </row>
    <row r="375">
      <c r="A375" s="29"/>
    </row>
    <row r="376">
      <c r="A376" s="29"/>
    </row>
    <row r="377">
      <c r="A377" s="29"/>
    </row>
    <row r="378">
      <c r="A378" s="29"/>
    </row>
    <row r="379">
      <c r="A379" s="29"/>
    </row>
    <row r="380">
      <c r="A380" s="29"/>
    </row>
    <row r="381">
      <c r="A381" s="29"/>
    </row>
    <row r="382">
      <c r="A382" s="29"/>
    </row>
    <row r="383">
      <c r="A383" s="29"/>
    </row>
    <row r="384">
      <c r="A384" s="29"/>
    </row>
    <row r="385">
      <c r="A385" s="29"/>
    </row>
    <row r="386">
      <c r="A386" s="29"/>
    </row>
    <row r="387">
      <c r="A387" s="29"/>
    </row>
    <row r="388">
      <c r="A388" s="29"/>
    </row>
    <row r="389">
      <c r="A389" s="29"/>
    </row>
    <row r="390">
      <c r="A390" s="29"/>
    </row>
    <row r="391">
      <c r="A391" s="29"/>
    </row>
    <row r="392">
      <c r="A392" s="29"/>
    </row>
    <row r="393">
      <c r="A393" s="29"/>
    </row>
    <row r="394">
      <c r="A394" s="29"/>
    </row>
    <row r="395">
      <c r="A395" s="29"/>
    </row>
    <row r="396">
      <c r="A396" s="29"/>
    </row>
    <row r="397">
      <c r="A397" s="29"/>
    </row>
    <row r="398">
      <c r="A398" s="29"/>
    </row>
    <row r="399">
      <c r="A399" s="29"/>
    </row>
    <row r="400">
      <c r="A400" s="29"/>
    </row>
    <row r="401">
      <c r="A401" s="29"/>
    </row>
    <row r="402">
      <c r="A402" s="29"/>
    </row>
    <row r="403">
      <c r="A403" s="29"/>
    </row>
    <row r="404">
      <c r="A404" s="29"/>
    </row>
    <row r="405">
      <c r="A405" s="29"/>
    </row>
    <row r="406">
      <c r="A406" s="29"/>
    </row>
    <row r="407">
      <c r="A407" s="29"/>
    </row>
    <row r="408">
      <c r="A408" s="29"/>
    </row>
    <row r="409">
      <c r="A409" s="29"/>
    </row>
    <row r="410">
      <c r="A410" s="29"/>
    </row>
    <row r="411">
      <c r="A411" s="29"/>
    </row>
    <row r="412">
      <c r="A412" s="29"/>
    </row>
    <row r="413">
      <c r="A413" s="29"/>
    </row>
    <row r="414">
      <c r="A414" s="29"/>
    </row>
    <row r="415">
      <c r="A415" s="29"/>
    </row>
    <row r="416">
      <c r="A416" s="29"/>
    </row>
    <row r="417">
      <c r="A417" s="29"/>
    </row>
    <row r="418">
      <c r="A418" s="29"/>
    </row>
    <row r="419">
      <c r="A419" s="29"/>
    </row>
    <row r="420">
      <c r="A420" s="29"/>
    </row>
    <row r="421">
      <c r="A421" s="29"/>
    </row>
    <row r="422">
      <c r="A422" s="29"/>
    </row>
    <row r="423">
      <c r="A423" s="29"/>
    </row>
    <row r="424">
      <c r="A424" s="29"/>
    </row>
    <row r="425">
      <c r="A425" s="29"/>
    </row>
    <row r="426">
      <c r="A426" s="29"/>
    </row>
    <row r="427">
      <c r="A427" s="29"/>
    </row>
    <row r="428">
      <c r="A428" s="29"/>
    </row>
    <row r="429">
      <c r="A429" s="29"/>
    </row>
    <row r="430">
      <c r="A430" s="29"/>
    </row>
    <row r="431">
      <c r="A431" s="29"/>
    </row>
    <row r="432">
      <c r="A432" s="29"/>
    </row>
    <row r="433">
      <c r="A433" s="29"/>
    </row>
    <row r="434">
      <c r="A434" s="29"/>
    </row>
    <row r="435">
      <c r="A435" s="29"/>
    </row>
    <row r="436">
      <c r="A436" s="29"/>
    </row>
    <row r="437">
      <c r="A437" s="29"/>
    </row>
    <row r="438">
      <c r="A438" s="29"/>
    </row>
    <row r="439">
      <c r="A439" s="29"/>
    </row>
    <row r="440">
      <c r="A440" s="29"/>
    </row>
    <row r="441">
      <c r="A441" s="29"/>
    </row>
    <row r="442">
      <c r="A442" s="29"/>
    </row>
    <row r="443">
      <c r="A443" s="29"/>
    </row>
    <row r="444">
      <c r="A444" s="29"/>
    </row>
    <row r="445">
      <c r="A445" s="29"/>
    </row>
    <row r="446">
      <c r="A446" s="29"/>
    </row>
    <row r="447">
      <c r="A447" s="29"/>
    </row>
    <row r="448">
      <c r="A448" s="29"/>
    </row>
    <row r="449">
      <c r="A449" s="29"/>
    </row>
    <row r="450">
      <c r="A450" s="29"/>
    </row>
    <row r="451">
      <c r="A451" s="29"/>
    </row>
    <row r="452">
      <c r="A452" s="29"/>
    </row>
    <row r="453">
      <c r="A453" s="29"/>
    </row>
    <row r="454">
      <c r="A454" s="29"/>
    </row>
    <row r="455">
      <c r="A455" s="29"/>
    </row>
    <row r="456">
      <c r="A456" s="29"/>
    </row>
    <row r="457">
      <c r="A457" s="29"/>
    </row>
    <row r="458">
      <c r="A458" s="29"/>
    </row>
    <row r="459">
      <c r="A459" s="29"/>
    </row>
    <row r="460">
      <c r="A460" s="29"/>
    </row>
    <row r="461">
      <c r="A461" s="29"/>
    </row>
    <row r="462">
      <c r="A462" s="29"/>
    </row>
    <row r="463">
      <c r="A463" s="29"/>
    </row>
    <row r="464">
      <c r="A464" s="29"/>
    </row>
    <row r="465">
      <c r="A465" s="29"/>
    </row>
    <row r="466">
      <c r="A466" s="29"/>
    </row>
    <row r="467">
      <c r="A467" s="29"/>
    </row>
    <row r="468">
      <c r="A468" s="29"/>
    </row>
    <row r="469">
      <c r="A469" s="29"/>
    </row>
    <row r="470">
      <c r="A470" s="29"/>
    </row>
    <row r="471">
      <c r="A471" s="29"/>
    </row>
    <row r="472">
      <c r="A472" s="29"/>
    </row>
    <row r="473">
      <c r="A473" s="29"/>
    </row>
    <row r="474">
      <c r="A474" s="29"/>
    </row>
    <row r="475">
      <c r="A475" s="29"/>
    </row>
    <row r="476">
      <c r="A476" s="29"/>
    </row>
    <row r="477">
      <c r="A477" s="29"/>
    </row>
    <row r="478">
      <c r="A478" s="29"/>
    </row>
    <row r="479">
      <c r="A479" s="29"/>
    </row>
    <row r="480">
      <c r="A480" s="29"/>
    </row>
    <row r="481">
      <c r="A481" s="29"/>
    </row>
    <row r="482">
      <c r="A482" s="29"/>
    </row>
    <row r="483">
      <c r="A483" s="29"/>
    </row>
    <row r="484">
      <c r="A484" s="29"/>
    </row>
    <row r="485">
      <c r="A485" s="29"/>
    </row>
    <row r="486">
      <c r="A486" s="29"/>
    </row>
    <row r="487">
      <c r="A487" s="29"/>
    </row>
    <row r="488">
      <c r="A488" s="29"/>
    </row>
    <row r="489">
      <c r="A489" s="29"/>
    </row>
    <row r="490">
      <c r="A490" s="29"/>
    </row>
    <row r="491">
      <c r="A491" s="29"/>
    </row>
    <row r="492">
      <c r="A492" s="29"/>
    </row>
    <row r="493">
      <c r="A493" s="29"/>
    </row>
    <row r="494">
      <c r="A494" s="29"/>
    </row>
    <row r="495">
      <c r="A495" s="29"/>
    </row>
    <row r="496">
      <c r="A496" s="29"/>
    </row>
    <row r="497">
      <c r="A497" s="29"/>
    </row>
    <row r="498">
      <c r="A498" s="29"/>
    </row>
    <row r="499">
      <c r="A499" s="29"/>
    </row>
    <row r="500">
      <c r="A500" s="29"/>
    </row>
    <row r="501">
      <c r="A501" s="29"/>
    </row>
    <row r="502">
      <c r="A502" s="29"/>
    </row>
    <row r="503">
      <c r="A503" s="29"/>
    </row>
    <row r="504">
      <c r="A504" s="29"/>
    </row>
    <row r="505">
      <c r="A505" s="29"/>
    </row>
    <row r="506">
      <c r="A506" s="29"/>
    </row>
    <row r="507">
      <c r="A507" s="29"/>
    </row>
    <row r="508">
      <c r="A508" s="29"/>
    </row>
    <row r="509">
      <c r="A509" s="29"/>
    </row>
    <row r="510">
      <c r="A510" s="29"/>
    </row>
    <row r="511">
      <c r="A511" s="29"/>
    </row>
    <row r="512">
      <c r="A512" s="29"/>
    </row>
    <row r="513">
      <c r="A513" s="29"/>
    </row>
    <row r="514">
      <c r="A514" s="29"/>
    </row>
    <row r="515">
      <c r="A515" s="29"/>
    </row>
    <row r="516">
      <c r="A516" s="29"/>
    </row>
    <row r="517">
      <c r="A517" s="29"/>
    </row>
    <row r="518">
      <c r="A518" s="29"/>
    </row>
    <row r="519">
      <c r="A519" s="29"/>
    </row>
    <row r="520">
      <c r="A520" s="29"/>
    </row>
    <row r="521">
      <c r="A521" s="29"/>
    </row>
    <row r="522">
      <c r="A522" s="29"/>
    </row>
    <row r="523">
      <c r="A523" s="29"/>
    </row>
    <row r="524">
      <c r="A524" s="29"/>
    </row>
    <row r="525">
      <c r="A525" s="29"/>
    </row>
    <row r="526">
      <c r="A526" s="29"/>
    </row>
    <row r="527">
      <c r="A527" s="29"/>
    </row>
    <row r="528">
      <c r="A528" s="29"/>
    </row>
    <row r="529">
      <c r="A529" s="29"/>
    </row>
    <row r="530">
      <c r="A530" s="29"/>
    </row>
    <row r="531">
      <c r="A531" s="29"/>
    </row>
    <row r="532">
      <c r="A532" s="29"/>
    </row>
    <row r="533">
      <c r="A533" s="29"/>
    </row>
    <row r="534">
      <c r="A534" s="29"/>
    </row>
    <row r="535">
      <c r="A535" s="29"/>
    </row>
    <row r="536">
      <c r="A536" s="29"/>
    </row>
    <row r="537">
      <c r="A537" s="29"/>
    </row>
    <row r="538">
      <c r="A538" s="29"/>
    </row>
    <row r="539">
      <c r="A539" s="29"/>
    </row>
    <row r="540">
      <c r="A540" s="29"/>
    </row>
    <row r="541">
      <c r="A541" s="29"/>
    </row>
    <row r="542">
      <c r="A542" s="29"/>
    </row>
    <row r="543">
      <c r="A543" s="29"/>
    </row>
    <row r="544">
      <c r="A544" s="29"/>
    </row>
    <row r="545">
      <c r="A545" s="29"/>
    </row>
    <row r="546">
      <c r="A546" s="29"/>
    </row>
    <row r="547">
      <c r="A547" s="29"/>
    </row>
    <row r="548">
      <c r="A548" s="29"/>
    </row>
    <row r="549">
      <c r="A549" s="29"/>
    </row>
    <row r="550">
      <c r="A550" s="29"/>
    </row>
    <row r="551">
      <c r="A551" s="29"/>
    </row>
    <row r="552">
      <c r="A552" s="29"/>
    </row>
    <row r="553">
      <c r="A553" s="29"/>
    </row>
    <row r="554">
      <c r="A554" s="29"/>
    </row>
    <row r="555">
      <c r="A555" s="29"/>
    </row>
    <row r="556">
      <c r="A556" s="29"/>
    </row>
    <row r="557">
      <c r="A557" s="29"/>
    </row>
    <row r="558">
      <c r="A558" s="29"/>
    </row>
    <row r="559">
      <c r="A559" s="29"/>
    </row>
    <row r="560">
      <c r="A560" s="29"/>
    </row>
    <row r="561">
      <c r="A561" s="29"/>
    </row>
    <row r="562">
      <c r="A562" s="29"/>
    </row>
    <row r="563">
      <c r="A563" s="29"/>
    </row>
    <row r="564">
      <c r="A564" s="29"/>
    </row>
    <row r="565">
      <c r="A565" s="29"/>
    </row>
    <row r="566">
      <c r="A566" s="29"/>
    </row>
    <row r="567">
      <c r="A567" s="29"/>
    </row>
    <row r="568">
      <c r="A568" s="29"/>
    </row>
    <row r="569">
      <c r="A569" s="29"/>
    </row>
    <row r="570">
      <c r="A570" s="29"/>
    </row>
    <row r="571">
      <c r="A571" s="29"/>
    </row>
    <row r="572">
      <c r="A572" s="29"/>
    </row>
    <row r="573">
      <c r="A573" s="29"/>
    </row>
    <row r="574">
      <c r="A574" s="29"/>
    </row>
    <row r="575">
      <c r="A575" s="29"/>
    </row>
    <row r="576">
      <c r="A576" s="29"/>
    </row>
    <row r="577">
      <c r="A577" s="29"/>
    </row>
    <row r="578">
      <c r="A578" s="29"/>
    </row>
    <row r="579">
      <c r="A579" s="29"/>
    </row>
    <row r="580">
      <c r="A580" s="29"/>
    </row>
    <row r="581">
      <c r="A581" s="29"/>
    </row>
    <row r="582">
      <c r="A582" s="29"/>
    </row>
    <row r="583">
      <c r="A583" s="29"/>
    </row>
    <row r="584">
      <c r="A584" s="29"/>
    </row>
    <row r="585">
      <c r="A585" s="29"/>
    </row>
    <row r="586">
      <c r="A586" s="29"/>
    </row>
    <row r="587">
      <c r="A587" s="29"/>
    </row>
    <row r="588">
      <c r="A588" s="29"/>
    </row>
    <row r="589">
      <c r="A589" s="29"/>
    </row>
    <row r="590">
      <c r="A590" s="29"/>
    </row>
    <row r="591">
      <c r="A591" s="29"/>
    </row>
    <row r="592">
      <c r="A592" s="29"/>
    </row>
    <row r="593">
      <c r="A593" s="29"/>
    </row>
    <row r="594">
      <c r="A594" s="29"/>
    </row>
    <row r="595">
      <c r="A595" s="29"/>
    </row>
    <row r="596">
      <c r="A596" s="29"/>
    </row>
    <row r="597">
      <c r="A597" s="29"/>
    </row>
    <row r="598">
      <c r="A598" s="29"/>
    </row>
    <row r="599">
      <c r="A599" s="29"/>
    </row>
    <row r="600">
      <c r="A600" s="29"/>
    </row>
    <row r="601">
      <c r="A601" s="29"/>
    </row>
    <row r="602">
      <c r="A602" s="29"/>
    </row>
    <row r="603">
      <c r="A603" s="29"/>
    </row>
    <row r="604">
      <c r="A604" s="29"/>
    </row>
    <row r="605">
      <c r="A605" s="29"/>
    </row>
    <row r="606">
      <c r="A606" s="29"/>
    </row>
    <row r="607">
      <c r="A607" s="29"/>
    </row>
    <row r="608">
      <c r="A608" s="29"/>
    </row>
    <row r="609">
      <c r="A609" s="29"/>
    </row>
    <row r="610">
      <c r="A610" s="29"/>
    </row>
    <row r="611">
      <c r="A611" s="29"/>
    </row>
    <row r="612">
      <c r="A612" s="29"/>
    </row>
    <row r="613">
      <c r="A613" s="29"/>
    </row>
    <row r="614">
      <c r="A614" s="29"/>
    </row>
    <row r="615">
      <c r="A615" s="29"/>
    </row>
    <row r="616">
      <c r="A616" s="29"/>
    </row>
    <row r="617">
      <c r="A617" s="29"/>
    </row>
    <row r="618">
      <c r="A618" s="29"/>
    </row>
    <row r="619">
      <c r="A619" s="29"/>
    </row>
    <row r="620">
      <c r="A620" s="29"/>
    </row>
    <row r="621">
      <c r="A621" s="29"/>
    </row>
    <row r="622">
      <c r="A622" s="29"/>
    </row>
    <row r="623">
      <c r="A623" s="29"/>
    </row>
    <row r="624">
      <c r="A624" s="29"/>
    </row>
    <row r="625">
      <c r="A625" s="29"/>
    </row>
    <row r="626">
      <c r="A626" s="29"/>
    </row>
    <row r="627">
      <c r="A627" s="29"/>
    </row>
    <row r="628">
      <c r="A628" s="29"/>
    </row>
    <row r="629">
      <c r="A629" s="29"/>
    </row>
    <row r="630">
      <c r="A630" s="29"/>
    </row>
    <row r="631">
      <c r="A631" s="29"/>
    </row>
    <row r="632">
      <c r="A632" s="29"/>
    </row>
    <row r="633">
      <c r="A633" s="29"/>
    </row>
    <row r="634">
      <c r="A634" s="29"/>
    </row>
    <row r="635">
      <c r="A635" s="29"/>
    </row>
    <row r="636">
      <c r="A636" s="29"/>
    </row>
    <row r="637">
      <c r="A637" s="29"/>
    </row>
    <row r="638">
      <c r="A638" s="29"/>
    </row>
    <row r="639">
      <c r="A639" s="29"/>
    </row>
    <row r="640">
      <c r="A640" s="29"/>
    </row>
    <row r="641">
      <c r="A641" s="29"/>
    </row>
    <row r="642">
      <c r="A642" s="29"/>
    </row>
    <row r="643">
      <c r="A643" s="29"/>
    </row>
    <row r="644">
      <c r="A644" s="29"/>
    </row>
    <row r="645">
      <c r="A645" s="29"/>
    </row>
    <row r="646">
      <c r="A646" s="29"/>
    </row>
    <row r="647">
      <c r="A647" s="29"/>
    </row>
    <row r="648">
      <c r="A648" s="29"/>
    </row>
    <row r="649">
      <c r="A649" s="29"/>
    </row>
    <row r="650">
      <c r="A650" s="29"/>
    </row>
    <row r="651">
      <c r="A651" s="29"/>
    </row>
    <row r="652">
      <c r="A652" s="29"/>
    </row>
    <row r="653">
      <c r="A653" s="29"/>
    </row>
    <row r="654">
      <c r="A654" s="29"/>
    </row>
    <row r="655">
      <c r="A655" s="29"/>
    </row>
    <row r="656">
      <c r="A656" s="29"/>
    </row>
    <row r="657">
      <c r="A657" s="29"/>
    </row>
    <row r="658">
      <c r="A658" s="29"/>
    </row>
    <row r="659">
      <c r="A659" s="29"/>
    </row>
    <row r="660">
      <c r="A660" s="29"/>
    </row>
    <row r="661">
      <c r="A661" s="29"/>
    </row>
    <row r="662">
      <c r="A662" s="29"/>
    </row>
    <row r="663">
      <c r="A663" s="29"/>
    </row>
    <row r="664">
      <c r="A664" s="29"/>
    </row>
    <row r="665">
      <c r="A665" s="29"/>
    </row>
    <row r="666">
      <c r="A666" s="29"/>
    </row>
    <row r="667">
      <c r="A667" s="29"/>
    </row>
    <row r="668">
      <c r="A668" s="29"/>
    </row>
    <row r="669">
      <c r="A669" s="29"/>
    </row>
    <row r="670">
      <c r="A670" s="29"/>
    </row>
    <row r="671">
      <c r="A671" s="29"/>
    </row>
    <row r="672">
      <c r="A672" s="29"/>
    </row>
    <row r="673">
      <c r="A673" s="29"/>
    </row>
    <row r="674">
      <c r="A674" s="29"/>
    </row>
    <row r="675">
      <c r="A675" s="29"/>
    </row>
    <row r="676">
      <c r="A676" s="29"/>
    </row>
    <row r="677">
      <c r="A677" s="29"/>
    </row>
    <row r="678">
      <c r="A678" s="29"/>
    </row>
    <row r="679">
      <c r="A679" s="29"/>
    </row>
    <row r="680">
      <c r="A680" s="29"/>
    </row>
    <row r="681">
      <c r="A681" s="29"/>
    </row>
    <row r="682">
      <c r="A682" s="29"/>
    </row>
    <row r="683">
      <c r="A683" s="29"/>
    </row>
    <row r="684">
      <c r="A684" s="29"/>
    </row>
    <row r="685">
      <c r="A685" s="29"/>
    </row>
    <row r="686">
      <c r="A686" s="29"/>
    </row>
    <row r="687">
      <c r="A687" s="29"/>
    </row>
    <row r="688">
      <c r="A688" s="29"/>
    </row>
    <row r="689">
      <c r="A689" s="29"/>
    </row>
    <row r="690">
      <c r="A690" s="29"/>
    </row>
    <row r="691">
      <c r="A691" s="29"/>
    </row>
    <row r="692">
      <c r="A692" s="29"/>
    </row>
    <row r="693">
      <c r="A693" s="29"/>
    </row>
    <row r="694">
      <c r="A694" s="29"/>
    </row>
    <row r="695">
      <c r="A695" s="29"/>
    </row>
    <row r="696">
      <c r="A696" s="29"/>
    </row>
    <row r="697">
      <c r="A697" s="29"/>
    </row>
    <row r="698">
      <c r="A698" s="29"/>
    </row>
    <row r="699">
      <c r="A699" s="29"/>
    </row>
    <row r="700">
      <c r="A700" s="29"/>
    </row>
    <row r="701">
      <c r="A701" s="29"/>
    </row>
    <row r="702">
      <c r="A702" s="29"/>
    </row>
    <row r="703">
      <c r="A703" s="29"/>
    </row>
    <row r="704">
      <c r="A704" s="29"/>
    </row>
    <row r="705">
      <c r="A705" s="29"/>
    </row>
    <row r="706">
      <c r="A706" s="29"/>
    </row>
    <row r="707">
      <c r="A707" s="29"/>
    </row>
    <row r="708">
      <c r="A708" s="29"/>
    </row>
    <row r="709">
      <c r="A709" s="29"/>
    </row>
    <row r="710">
      <c r="A710" s="29"/>
    </row>
    <row r="711">
      <c r="A711" s="29"/>
    </row>
    <row r="712">
      <c r="A712" s="29"/>
    </row>
    <row r="713">
      <c r="A713" s="29"/>
    </row>
    <row r="714">
      <c r="A714" s="29"/>
    </row>
    <row r="715">
      <c r="A715" s="29"/>
    </row>
    <row r="716">
      <c r="A716" s="29"/>
    </row>
    <row r="717">
      <c r="A717" s="29"/>
    </row>
    <row r="718">
      <c r="A718" s="29"/>
    </row>
    <row r="719">
      <c r="A719" s="29"/>
    </row>
    <row r="720">
      <c r="A720" s="29"/>
    </row>
    <row r="721">
      <c r="A721" s="29"/>
    </row>
    <row r="722">
      <c r="A722" s="29"/>
    </row>
    <row r="723">
      <c r="A723" s="29"/>
    </row>
    <row r="724">
      <c r="A724" s="29"/>
    </row>
    <row r="725">
      <c r="A725" s="29"/>
    </row>
    <row r="726">
      <c r="A726" s="29"/>
    </row>
    <row r="727">
      <c r="A727" s="29"/>
    </row>
    <row r="728">
      <c r="A728" s="29"/>
    </row>
    <row r="729">
      <c r="A729" s="29"/>
    </row>
    <row r="730">
      <c r="A730" s="29"/>
    </row>
    <row r="731">
      <c r="A731" s="29"/>
    </row>
    <row r="732">
      <c r="A732" s="29"/>
    </row>
    <row r="733">
      <c r="A733" s="29"/>
    </row>
    <row r="734">
      <c r="A734" s="29"/>
    </row>
    <row r="735">
      <c r="A735" s="29"/>
    </row>
    <row r="736">
      <c r="A736" s="29"/>
    </row>
    <row r="737">
      <c r="A737" s="29"/>
    </row>
    <row r="738">
      <c r="A738" s="29"/>
    </row>
    <row r="739">
      <c r="A739" s="29"/>
    </row>
    <row r="740">
      <c r="A740" s="29"/>
    </row>
    <row r="741">
      <c r="A741" s="29"/>
    </row>
    <row r="742">
      <c r="A742" s="29"/>
    </row>
    <row r="743">
      <c r="A743" s="29"/>
    </row>
    <row r="744">
      <c r="A744" s="29"/>
    </row>
    <row r="745">
      <c r="A745" s="29"/>
    </row>
    <row r="746">
      <c r="A746" s="29"/>
    </row>
    <row r="747">
      <c r="A747" s="29"/>
    </row>
    <row r="748">
      <c r="A748" s="29"/>
    </row>
    <row r="749">
      <c r="A749" s="29"/>
    </row>
    <row r="750">
      <c r="A750" s="29"/>
    </row>
    <row r="751">
      <c r="A751" s="29"/>
    </row>
    <row r="752">
      <c r="A752" s="29"/>
    </row>
    <row r="753">
      <c r="A753" s="29"/>
    </row>
    <row r="754">
      <c r="A754" s="29"/>
    </row>
    <row r="755">
      <c r="A755" s="29"/>
    </row>
    <row r="756">
      <c r="A756" s="29"/>
    </row>
    <row r="757">
      <c r="A757" s="29"/>
    </row>
    <row r="758">
      <c r="A758" s="29"/>
    </row>
    <row r="759">
      <c r="A759" s="29"/>
    </row>
    <row r="760">
      <c r="A760" s="29"/>
    </row>
    <row r="761">
      <c r="A761" s="29"/>
    </row>
    <row r="762">
      <c r="A762" s="29"/>
    </row>
    <row r="763">
      <c r="A763" s="29"/>
    </row>
    <row r="764">
      <c r="A764" s="29"/>
    </row>
    <row r="765">
      <c r="A765" s="29"/>
    </row>
    <row r="766">
      <c r="A766" s="29"/>
    </row>
    <row r="767">
      <c r="A767" s="29"/>
    </row>
    <row r="768">
      <c r="A768" s="29"/>
    </row>
    <row r="769">
      <c r="A769" s="29"/>
    </row>
    <row r="770">
      <c r="A770" s="29"/>
    </row>
    <row r="771">
      <c r="A771" s="29"/>
    </row>
    <row r="772">
      <c r="A772" s="29"/>
    </row>
    <row r="773">
      <c r="A773" s="29"/>
    </row>
    <row r="774">
      <c r="A774" s="29"/>
    </row>
    <row r="775">
      <c r="A775" s="29"/>
    </row>
    <row r="776">
      <c r="A776" s="29"/>
    </row>
    <row r="777">
      <c r="A777" s="29"/>
    </row>
    <row r="778">
      <c r="A778" s="29"/>
    </row>
    <row r="779">
      <c r="A779" s="29"/>
    </row>
    <row r="780">
      <c r="A780" s="29"/>
    </row>
    <row r="781">
      <c r="A781" s="29"/>
    </row>
    <row r="782">
      <c r="A782" s="29"/>
    </row>
    <row r="783">
      <c r="A783" s="29"/>
    </row>
    <row r="784">
      <c r="A784" s="29"/>
    </row>
    <row r="785">
      <c r="A785" s="29"/>
    </row>
    <row r="786">
      <c r="A786" s="29"/>
    </row>
    <row r="787">
      <c r="A787" s="29"/>
    </row>
    <row r="788">
      <c r="A788" s="29"/>
    </row>
    <row r="789">
      <c r="A789" s="29"/>
    </row>
    <row r="790">
      <c r="A790" s="29"/>
    </row>
    <row r="791">
      <c r="A791" s="29"/>
    </row>
    <row r="792">
      <c r="A792" s="29"/>
    </row>
    <row r="793">
      <c r="A793" s="29"/>
    </row>
    <row r="794">
      <c r="A794" s="29"/>
    </row>
    <row r="795">
      <c r="A795" s="29"/>
    </row>
    <row r="796">
      <c r="A796" s="29"/>
    </row>
    <row r="797">
      <c r="A797" s="29"/>
    </row>
    <row r="798">
      <c r="A798" s="29"/>
    </row>
    <row r="799">
      <c r="A799" s="29"/>
    </row>
    <row r="800">
      <c r="A800" s="29"/>
    </row>
    <row r="801">
      <c r="A801" s="29"/>
    </row>
    <row r="802">
      <c r="A802" s="29"/>
    </row>
    <row r="803">
      <c r="A803" s="29"/>
    </row>
    <row r="804">
      <c r="A804" s="29"/>
    </row>
    <row r="805">
      <c r="A805" s="29"/>
    </row>
    <row r="806">
      <c r="A806" s="29"/>
    </row>
    <row r="807">
      <c r="A807" s="29"/>
    </row>
    <row r="808">
      <c r="A808" s="29"/>
    </row>
    <row r="809">
      <c r="A809" s="29"/>
    </row>
    <row r="810">
      <c r="A810" s="29"/>
    </row>
    <row r="811">
      <c r="A811" s="29"/>
    </row>
    <row r="812">
      <c r="A812" s="29"/>
    </row>
    <row r="813">
      <c r="A813" s="29"/>
    </row>
    <row r="814">
      <c r="A814" s="29"/>
    </row>
    <row r="815">
      <c r="A815" s="29"/>
    </row>
    <row r="816">
      <c r="A816" s="29"/>
    </row>
    <row r="817">
      <c r="A817" s="29"/>
    </row>
    <row r="818">
      <c r="A818" s="29"/>
    </row>
    <row r="819">
      <c r="A819" s="29"/>
    </row>
    <row r="820">
      <c r="A820" s="29"/>
    </row>
    <row r="821">
      <c r="A821" s="29"/>
    </row>
    <row r="822">
      <c r="A822" s="29"/>
    </row>
    <row r="823">
      <c r="A823" s="29"/>
    </row>
    <row r="824">
      <c r="A824" s="29"/>
    </row>
    <row r="825">
      <c r="A825" s="29"/>
    </row>
    <row r="826">
      <c r="A826" s="29"/>
    </row>
    <row r="827">
      <c r="A827" s="29"/>
    </row>
    <row r="828">
      <c r="A828" s="29"/>
    </row>
    <row r="829">
      <c r="A829" s="29"/>
    </row>
    <row r="830">
      <c r="A830" s="29"/>
    </row>
    <row r="831">
      <c r="A831" s="29"/>
    </row>
    <row r="832">
      <c r="A832" s="29"/>
    </row>
    <row r="833">
      <c r="A833" s="29"/>
    </row>
    <row r="834">
      <c r="A834" s="29"/>
    </row>
    <row r="835">
      <c r="A835" s="29"/>
    </row>
    <row r="836">
      <c r="A836" s="29"/>
    </row>
    <row r="837">
      <c r="A837" s="29"/>
    </row>
    <row r="838">
      <c r="A838" s="29"/>
    </row>
    <row r="839">
      <c r="A839" s="29"/>
    </row>
    <row r="840">
      <c r="A840" s="29"/>
    </row>
    <row r="841">
      <c r="A841" s="29"/>
    </row>
    <row r="842">
      <c r="A842" s="29"/>
    </row>
    <row r="843">
      <c r="A843" s="29"/>
    </row>
    <row r="844">
      <c r="A844" s="29"/>
    </row>
    <row r="845">
      <c r="A845" s="29"/>
    </row>
    <row r="846">
      <c r="A846" s="29"/>
    </row>
    <row r="847">
      <c r="A847" s="29"/>
    </row>
    <row r="848">
      <c r="A848" s="29"/>
    </row>
    <row r="849">
      <c r="A849" s="29"/>
    </row>
    <row r="850">
      <c r="A850" s="29"/>
    </row>
    <row r="851">
      <c r="A851" s="29"/>
    </row>
    <row r="852">
      <c r="A852" s="29"/>
    </row>
    <row r="853">
      <c r="A853" s="29"/>
    </row>
    <row r="854">
      <c r="A854" s="29"/>
    </row>
    <row r="855">
      <c r="A855" s="29"/>
    </row>
    <row r="856">
      <c r="A856" s="29"/>
    </row>
    <row r="857">
      <c r="A857" s="29"/>
    </row>
    <row r="858">
      <c r="A858" s="29"/>
    </row>
    <row r="859">
      <c r="A859" s="29"/>
    </row>
    <row r="860">
      <c r="A860" s="29"/>
    </row>
    <row r="861">
      <c r="A861" s="29"/>
    </row>
    <row r="862">
      <c r="A862" s="29"/>
    </row>
    <row r="863">
      <c r="A863" s="29"/>
    </row>
    <row r="864">
      <c r="A864" s="29"/>
    </row>
    <row r="865">
      <c r="A865" s="29"/>
    </row>
    <row r="866">
      <c r="A866" s="29"/>
    </row>
    <row r="867">
      <c r="A867" s="29"/>
    </row>
    <row r="868">
      <c r="A868" s="29"/>
    </row>
    <row r="869">
      <c r="A869" s="29"/>
    </row>
    <row r="870">
      <c r="A870" s="29"/>
    </row>
    <row r="871">
      <c r="A871" s="29"/>
    </row>
    <row r="872">
      <c r="A872" s="29"/>
    </row>
    <row r="873">
      <c r="A873" s="29"/>
    </row>
    <row r="874">
      <c r="A874" s="29"/>
    </row>
    <row r="875">
      <c r="A875" s="29"/>
    </row>
    <row r="876">
      <c r="A876" s="29"/>
    </row>
    <row r="877">
      <c r="A877" s="29"/>
    </row>
    <row r="878">
      <c r="A878" s="29"/>
    </row>
    <row r="879">
      <c r="A879" s="29"/>
    </row>
    <row r="880">
      <c r="A880" s="29"/>
    </row>
    <row r="881">
      <c r="A881" s="29"/>
    </row>
    <row r="882">
      <c r="A882" s="29"/>
    </row>
    <row r="883">
      <c r="A883" s="29"/>
    </row>
    <row r="884">
      <c r="A884" s="29"/>
    </row>
    <row r="885">
      <c r="A885" s="29"/>
    </row>
    <row r="886">
      <c r="A886" s="29"/>
    </row>
    <row r="887">
      <c r="A887" s="29"/>
    </row>
    <row r="888">
      <c r="A888" s="29"/>
    </row>
    <row r="889">
      <c r="A889" s="29"/>
    </row>
    <row r="890">
      <c r="A890" s="29"/>
    </row>
    <row r="891">
      <c r="A891" s="29"/>
    </row>
    <row r="892">
      <c r="A892" s="29"/>
    </row>
    <row r="893">
      <c r="A893" s="29"/>
    </row>
    <row r="894">
      <c r="A894" s="29"/>
    </row>
    <row r="895">
      <c r="A895" s="29"/>
    </row>
    <row r="896">
      <c r="A896" s="29"/>
    </row>
    <row r="897">
      <c r="A897" s="29"/>
    </row>
    <row r="898">
      <c r="A898" s="29"/>
    </row>
    <row r="899">
      <c r="A899" s="29"/>
    </row>
    <row r="900">
      <c r="A900" s="29"/>
    </row>
    <row r="901">
      <c r="A901" s="29"/>
    </row>
    <row r="902">
      <c r="A902" s="29"/>
    </row>
    <row r="903">
      <c r="A903" s="29"/>
    </row>
    <row r="904">
      <c r="A904" s="29"/>
    </row>
    <row r="905">
      <c r="A905" s="29"/>
    </row>
    <row r="906">
      <c r="A906" s="29"/>
    </row>
    <row r="907">
      <c r="A907" s="29"/>
    </row>
    <row r="908">
      <c r="A908" s="29"/>
    </row>
    <row r="909">
      <c r="A909" s="29"/>
    </row>
    <row r="910">
      <c r="A910" s="29"/>
    </row>
    <row r="911">
      <c r="A911" s="29"/>
    </row>
    <row r="912">
      <c r="A912" s="29"/>
    </row>
    <row r="913">
      <c r="A913" s="29"/>
    </row>
    <row r="914">
      <c r="A914" s="29"/>
    </row>
    <row r="915">
      <c r="A915" s="29"/>
    </row>
    <row r="916">
      <c r="A916" s="29"/>
    </row>
    <row r="917">
      <c r="A917" s="29"/>
    </row>
    <row r="918">
      <c r="A918" s="29"/>
    </row>
    <row r="919">
      <c r="A919" s="29"/>
    </row>
    <row r="920">
      <c r="A920" s="29"/>
    </row>
    <row r="921">
      <c r="A921" s="29"/>
    </row>
    <row r="922">
      <c r="A922" s="29"/>
    </row>
    <row r="923">
      <c r="A923" s="29"/>
    </row>
    <row r="924">
      <c r="A924" s="29"/>
    </row>
    <row r="925">
      <c r="A925" s="29"/>
    </row>
    <row r="926">
      <c r="A926" s="29"/>
    </row>
    <row r="927">
      <c r="A927" s="29"/>
    </row>
    <row r="928">
      <c r="A928" s="29"/>
    </row>
    <row r="929">
      <c r="A929" s="29"/>
    </row>
    <row r="930">
      <c r="A930" s="29"/>
    </row>
    <row r="931">
      <c r="A931" s="29"/>
    </row>
    <row r="932">
      <c r="A932" s="29"/>
    </row>
    <row r="933">
      <c r="A933" s="29"/>
    </row>
    <row r="934">
      <c r="A934" s="29"/>
    </row>
    <row r="935">
      <c r="A935" s="29"/>
    </row>
    <row r="936">
      <c r="A936" s="29"/>
    </row>
    <row r="937">
      <c r="A937" s="29"/>
    </row>
    <row r="938">
      <c r="A938" s="29"/>
    </row>
    <row r="939">
      <c r="A939" s="29"/>
    </row>
    <row r="940">
      <c r="A940" s="29"/>
    </row>
    <row r="941">
      <c r="A941" s="29"/>
    </row>
    <row r="942">
      <c r="A942" s="29"/>
    </row>
    <row r="943">
      <c r="A943" s="29"/>
    </row>
    <row r="944">
      <c r="A944" s="29"/>
    </row>
    <row r="945">
      <c r="A945" s="29"/>
    </row>
    <row r="946">
      <c r="A946" s="29"/>
    </row>
    <row r="947">
      <c r="A947" s="29"/>
    </row>
    <row r="948">
      <c r="A948" s="29"/>
    </row>
    <row r="949">
      <c r="A949" s="29"/>
    </row>
    <row r="950">
      <c r="A950" s="29"/>
    </row>
    <row r="951">
      <c r="A951" s="29"/>
    </row>
    <row r="952">
      <c r="A952" s="29"/>
    </row>
    <row r="953">
      <c r="A953" s="29"/>
    </row>
    <row r="954">
      <c r="A954" s="29"/>
    </row>
    <row r="955">
      <c r="A955" s="29"/>
    </row>
    <row r="956">
      <c r="A956" s="29"/>
    </row>
    <row r="957">
      <c r="A957" s="29"/>
    </row>
    <row r="958">
      <c r="A958" s="29"/>
    </row>
    <row r="959">
      <c r="A959" s="29"/>
    </row>
    <row r="960">
      <c r="A960" s="29"/>
    </row>
    <row r="961">
      <c r="A961" s="29"/>
    </row>
    <row r="962">
      <c r="A962" s="29"/>
    </row>
    <row r="963">
      <c r="A963" s="29"/>
    </row>
    <row r="964">
      <c r="A964" s="29"/>
    </row>
    <row r="965">
      <c r="A965" s="29"/>
    </row>
    <row r="966">
      <c r="A966" s="29"/>
    </row>
    <row r="967">
      <c r="A967" s="29"/>
    </row>
    <row r="968">
      <c r="A968" s="29"/>
    </row>
    <row r="969">
      <c r="A969" s="29"/>
    </row>
    <row r="970">
      <c r="A970" s="29"/>
    </row>
    <row r="971">
      <c r="A971" s="29"/>
    </row>
    <row r="972">
      <c r="A972" s="29"/>
    </row>
    <row r="973">
      <c r="A973" s="29"/>
    </row>
    <row r="974">
      <c r="A974" s="29"/>
    </row>
    <row r="975">
      <c r="A975" s="29"/>
    </row>
    <row r="976">
      <c r="A976" s="29"/>
    </row>
    <row r="977">
      <c r="A977" s="29"/>
    </row>
    <row r="978">
      <c r="A978" s="29"/>
    </row>
    <row r="979">
      <c r="A979" s="29"/>
    </row>
    <row r="980">
      <c r="A980" s="29"/>
    </row>
    <row r="981">
      <c r="A981" s="29"/>
    </row>
    <row r="982">
      <c r="A982" s="29"/>
    </row>
    <row r="983">
      <c r="A983" s="29"/>
    </row>
    <row r="984">
      <c r="A984" s="29"/>
    </row>
    <row r="985">
      <c r="A985" s="29"/>
    </row>
    <row r="986">
      <c r="A986" s="29"/>
    </row>
    <row r="987">
      <c r="A987" s="29"/>
    </row>
    <row r="988">
      <c r="A988" s="29"/>
    </row>
    <row r="989">
      <c r="A989" s="29"/>
    </row>
    <row r="990">
      <c r="A990" s="29"/>
    </row>
    <row r="991">
      <c r="A991" s="29"/>
    </row>
    <row r="992">
      <c r="A992" s="29"/>
    </row>
    <row r="993">
      <c r="A993" s="29"/>
    </row>
    <row r="994">
      <c r="A994" s="29"/>
    </row>
    <row r="995">
      <c r="A995" s="29"/>
    </row>
    <row r="996">
      <c r="A996" s="29"/>
    </row>
    <row r="997">
      <c r="A997" s="29"/>
    </row>
    <row r="998">
      <c r="A998" s="29"/>
    </row>
    <row r="999">
      <c r="A999" s="29"/>
    </row>
    <row r="1000">
      <c r="A1000" s="29"/>
    </row>
  </sheetData>
  <drawing r:id="rId1"/>
</worksheet>
</file>