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anfeng/Desktop/PhD CEE/coding/Cloned packages/EXPOsan/exposan/htl/data/"/>
    </mc:Choice>
  </mc:AlternateContent>
  <xr:revisionPtr revIDLastSave="0" documentId="13_ncr:1_{C29D9FD2-98F2-D848-93B9-AB6E4B076D92}" xr6:coauthVersionLast="47" xr6:coauthVersionMax="47" xr10:uidLastSave="{00000000-0000-0000-0000-000000000000}"/>
  <bookViews>
    <workbookView xWindow="11880" yWindow="29300" windowWidth="28800" windowHeight="17500" activeTab="10" xr2:uid="{BD97E243-0BB4-3F42-9EBC-00D49E7EE019}"/>
  </bookViews>
  <sheets>
    <sheet name="info" sheetId="2" r:id="rId1"/>
    <sheet name="template" sheetId="12" r:id="rId2"/>
    <sheet name="Acidification" sheetId="6" r:id="rId3"/>
    <sheet name="Ecotoxicity" sheetId="7" r:id="rId4"/>
    <sheet name="Eutrophication" sheetId="13" r:id="rId5"/>
    <sheet name="GlobalWarming" sheetId="14" r:id="rId6"/>
    <sheet name="OzoneDepletion" sheetId="15" r:id="rId7"/>
    <sheet name="PhotochemicalOxidation" sheetId="16" r:id="rId8"/>
    <sheet name="Carcinogenics" sheetId="8" r:id="rId9"/>
    <sheet name="NonCarcinogenics" sheetId="9" r:id="rId10"/>
    <sheet name="RespiratoryEffects" sheetId="10" r:id="rId11"/>
  </sheets>
  <calcPr calcId="191029" iterate="1" iterateCount="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6" l="1"/>
  <c r="C21" i="7"/>
  <c r="C20" i="14"/>
  <c r="C9" i="10" l="1"/>
  <c r="C9" i="9"/>
  <c r="C9" i="8"/>
  <c r="C9" i="16"/>
  <c r="C9" i="15"/>
  <c r="C9" i="14"/>
  <c r="C9" i="13"/>
  <c r="C9" i="7"/>
  <c r="C9" i="6"/>
  <c r="C17" i="14"/>
  <c r="C21" i="10"/>
  <c r="C21" i="9"/>
  <c r="C21" i="8"/>
  <c r="C21" i="16"/>
  <c r="C21" i="15"/>
  <c r="C21" i="14"/>
  <c r="C21" i="13"/>
  <c r="C21" i="6"/>
  <c r="C20" i="10"/>
  <c r="C20" i="9"/>
  <c r="C20" i="8"/>
  <c r="C20" i="16"/>
  <c r="C20" i="15"/>
  <c r="C20" i="13"/>
  <c r="C20" i="7"/>
  <c r="E38" i="10"/>
  <c r="D38" i="10"/>
  <c r="E38" i="9"/>
  <c r="D38" i="9"/>
  <c r="E38" i="8"/>
  <c r="D38" i="8"/>
  <c r="E38" i="16"/>
  <c r="D38" i="16"/>
  <c r="E38" i="15"/>
  <c r="D38" i="15"/>
  <c r="E38" i="14"/>
  <c r="D38" i="14"/>
  <c r="E38" i="13"/>
  <c r="D38" i="13"/>
  <c r="E38" i="7"/>
  <c r="D38" i="7"/>
  <c r="E38" i="6"/>
  <c r="D38" i="6"/>
  <c r="E37" i="10"/>
  <c r="D37" i="10"/>
  <c r="E36" i="10"/>
  <c r="D36" i="10"/>
  <c r="E35" i="10"/>
  <c r="D35" i="10"/>
  <c r="E37" i="9"/>
  <c r="D37" i="9"/>
  <c r="E36" i="9"/>
  <c r="D36" i="9"/>
  <c r="E35" i="9"/>
  <c r="D35" i="9"/>
  <c r="E37" i="8"/>
  <c r="D37" i="8"/>
  <c r="E36" i="8"/>
  <c r="D36" i="8"/>
  <c r="E35" i="8"/>
  <c r="D35" i="8"/>
  <c r="E37" i="16"/>
  <c r="D37" i="16"/>
  <c r="E36" i="16"/>
  <c r="D36" i="16"/>
  <c r="E35" i="16"/>
  <c r="D35" i="16"/>
  <c r="E37" i="15"/>
  <c r="D37" i="15"/>
  <c r="E36" i="15"/>
  <c r="D36" i="15"/>
  <c r="E35" i="15"/>
  <c r="D35" i="15"/>
  <c r="E37" i="14"/>
  <c r="D37" i="14"/>
  <c r="E36" i="14"/>
  <c r="D36" i="14"/>
  <c r="E35" i="14"/>
  <c r="D35" i="14"/>
  <c r="E37" i="13"/>
  <c r="D37" i="13"/>
  <c r="E36" i="13"/>
  <c r="D36" i="13"/>
  <c r="E35" i="13"/>
  <c r="D35" i="13"/>
  <c r="E37" i="7"/>
  <c r="D37" i="7"/>
  <c r="E36" i="7"/>
  <c r="D36" i="7"/>
  <c r="E35" i="7"/>
  <c r="D35" i="7"/>
  <c r="D35" i="6"/>
  <c r="E35" i="6"/>
  <c r="D36" i="6"/>
  <c r="E36" i="6"/>
  <c r="D37" i="6"/>
  <c r="E37" i="6"/>
  <c r="E19" i="10"/>
  <c r="D19" i="10"/>
  <c r="E19" i="9"/>
  <c r="D19" i="9"/>
  <c r="E19" i="8"/>
  <c r="D19" i="8"/>
  <c r="E19" i="16"/>
  <c r="D19" i="16"/>
  <c r="E19" i="15"/>
  <c r="D19" i="15"/>
  <c r="E19" i="14"/>
  <c r="D19" i="14"/>
  <c r="E19" i="13"/>
  <c r="D19" i="13"/>
  <c r="E19" i="7"/>
  <c r="D19" i="7"/>
  <c r="E19" i="6"/>
  <c r="D19" i="6"/>
  <c r="E29" i="10"/>
  <c r="D29" i="10"/>
  <c r="E29" i="9"/>
  <c r="D29" i="9"/>
  <c r="D30" i="9"/>
  <c r="E30" i="9"/>
  <c r="E29" i="8"/>
  <c r="D29" i="8"/>
  <c r="E29" i="16"/>
  <c r="D29" i="16"/>
  <c r="E29" i="15"/>
  <c r="D29" i="15"/>
  <c r="E29" i="14"/>
  <c r="D29" i="14"/>
  <c r="E29" i="13"/>
  <c r="D29" i="13"/>
  <c r="E29" i="7"/>
  <c r="D29" i="7"/>
  <c r="E29" i="6"/>
  <c r="D29" i="6"/>
  <c r="D23" i="6"/>
  <c r="E23" i="6"/>
  <c r="D24" i="6"/>
  <c r="E24" i="6"/>
  <c r="D25" i="6"/>
  <c r="E25" i="6"/>
  <c r="D26" i="6"/>
  <c r="E26" i="6"/>
  <c r="D27" i="6"/>
  <c r="E27" i="6"/>
  <c r="D28" i="6"/>
  <c r="E28" i="6"/>
  <c r="D30" i="6"/>
  <c r="E30" i="6"/>
  <c r="D31" i="6"/>
  <c r="E31" i="6"/>
  <c r="D32" i="6"/>
  <c r="E32" i="6"/>
  <c r="D33" i="6"/>
  <c r="E33" i="6"/>
  <c r="D34" i="6"/>
  <c r="E34" i="6"/>
  <c r="D23" i="7"/>
  <c r="E23" i="7"/>
  <c r="D24" i="7"/>
  <c r="E24" i="7"/>
  <c r="D25" i="7"/>
  <c r="E25" i="7"/>
  <c r="D26" i="7"/>
  <c r="E26" i="7"/>
  <c r="D27" i="7"/>
  <c r="E27" i="7"/>
  <c r="D28" i="7"/>
  <c r="E28" i="7"/>
  <c r="D30" i="7"/>
  <c r="E30" i="7"/>
  <c r="D31" i="7"/>
  <c r="E31" i="7"/>
  <c r="D32" i="7"/>
  <c r="E32" i="7"/>
  <c r="D33" i="7"/>
  <c r="E33" i="7"/>
  <c r="D34" i="7"/>
  <c r="E34" i="7"/>
  <c r="D23" i="13"/>
  <c r="E23" i="13"/>
  <c r="D24" i="13"/>
  <c r="E24" i="13"/>
  <c r="D25" i="13"/>
  <c r="E25" i="13"/>
  <c r="D26" i="13"/>
  <c r="E26" i="13"/>
  <c r="D27" i="13"/>
  <c r="E27" i="13"/>
  <c r="D28" i="13"/>
  <c r="E28" i="13"/>
  <c r="D30" i="13"/>
  <c r="E30" i="13"/>
  <c r="D31" i="13"/>
  <c r="E31" i="13"/>
  <c r="D32" i="13"/>
  <c r="E32" i="13"/>
  <c r="D33" i="13"/>
  <c r="E33" i="13"/>
  <c r="D34" i="13"/>
  <c r="E34" i="13"/>
  <c r="D23" i="14"/>
  <c r="E23" i="14"/>
  <c r="D24" i="14"/>
  <c r="E24" i="14"/>
  <c r="D25" i="14"/>
  <c r="E25" i="14"/>
  <c r="D26" i="14"/>
  <c r="E26" i="14"/>
  <c r="D27" i="14"/>
  <c r="E27" i="14"/>
  <c r="D28" i="14"/>
  <c r="E28" i="14"/>
  <c r="D30" i="14"/>
  <c r="E30" i="14"/>
  <c r="D31" i="14"/>
  <c r="E31" i="14"/>
  <c r="D32" i="14"/>
  <c r="E32" i="14"/>
  <c r="D33" i="14"/>
  <c r="E33" i="14"/>
  <c r="D34" i="14"/>
  <c r="E34" i="14"/>
  <c r="D23" i="15"/>
  <c r="E23" i="15"/>
  <c r="D24" i="15"/>
  <c r="E24" i="15"/>
  <c r="D25" i="15"/>
  <c r="E25" i="15"/>
  <c r="D26" i="15"/>
  <c r="E26" i="15"/>
  <c r="D27" i="15"/>
  <c r="E27" i="15"/>
  <c r="D28" i="15"/>
  <c r="E28" i="15"/>
  <c r="D30" i="15"/>
  <c r="E30" i="15"/>
  <c r="D31" i="15"/>
  <c r="E31" i="15"/>
  <c r="D32" i="15"/>
  <c r="E32" i="15"/>
  <c r="D33" i="15"/>
  <c r="E33" i="15"/>
  <c r="D34" i="15"/>
  <c r="E34" i="15"/>
  <c r="D23" i="16"/>
  <c r="E23" i="16"/>
  <c r="D24" i="16"/>
  <c r="E24" i="16"/>
  <c r="D25" i="16"/>
  <c r="E25" i="16"/>
  <c r="D26" i="16"/>
  <c r="E26" i="16"/>
  <c r="D27" i="16"/>
  <c r="E27" i="16"/>
  <c r="D28" i="16"/>
  <c r="E28" i="16"/>
  <c r="D30" i="16"/>
  <c r="E30" i="16"/>
  <c r="D31" i="16"/>
  <c r="E31" i="16"/>
  <c r="D32" i="16"/>
  <c r="E32" i="16"/>
  <c r="D33" i="16"/>
  <c r="E33" i="16"/>
  <c r="D34" i="16"/>
  <c r="E34" i="16"/>
  <c r="D23" i="8"/>
  <c r="E23" i="8"/>
  <c r="D24" i="8"/>
  <c r="E24" i="8"/>
  <c r="D25" i="8"/>
  <c r="E25" i="8"/>
  <c r="D26" i="8"/>
  <c r="E26" i="8"/>
  <c r="D27" i="8"/>
  <c r="E27" i="8"/>
  <c r="D28" i="8"/>
  <c r="E28" i="8"/>
  <c r="D30" i="8"/>
  <c r="E30" i="8"/>
  <c r="D31" i="8"/>
  <c r="E31" i="8"/>
  <c r="D32" i="8"/>
  <c r="E32" i="8"/>
  <c r="D33" i="8"/>
  <c r="E33" i="8"/>
  <c r="D34" i="8"/>
  <c r="E34" i="8"/>
  <c r="D23" i="9"/>
  <c r="E23" i="9"/>
  <c r="D24" i="9"/>
  <c r="E24" i="9"/>
  <c r="D25" i="9"/>
  <c r="E25" i="9"/>
  <c r="D26" i="9"/>
  <c r="E26" i="9"/>
  <c r="D27" i="9"/>
  <c r="E27" i="9"/>
  <c r="D28" i="9"/>
  <c r="E28" i="9"/>
  <c r="D31" i="9"/>
  <c r="E31" i="9"/>
  <c r="D32" i="9"/>
  <c r="E32" i="9"/>
  <c r="D33" i="9"/>
  <c r="E33" i="9"/>
  <c r="D34" i="9"/>
  <c r="E34" i="9"/>
  <c r="D23" i="10"/>
  <c r="E23" i="10"/>
  <c r="D24" i="10"/>
  <c r="E24" i="10"/>
  <c r="D25" i="10"/>
  <c r="E25" i="10"/>
  <c r="D26" i="10"/>
  <c r="E26" i="10"/>
  <c r="D27" i="10"/>
  <c r="E27" i="10"/>
  <c r="D28" i="10"/>
  <c r="E28" i="10"/>
  <c r="D30" i="10"/>
  <c r="E30" i="10"/>
  <c r="D31" i="10"/>
  <c r="E31" i="10"/>
  <c r="D32" i="10"/>
  <c r="E32" i="10"/>
  <c r="D33" i="10"/>
  <c r="E33" i="10"/>
  <c r="D34" i="10"/>
  <c r="E34" i="10"/>
  <c r="C15" i="10"/>
  <c r="C15" i="9"/>
  <c r="C15" i="8"/>
  <c r="C15" i="16"/>
  <c r="C15" i="15"/>
  <c r="C15" i="14"/>
  <c r="C15" i="13"/>
  <c r="C15" i="7"/>
  <c r="C15" i="6"/>
  <c r="D15" i="10" l="1"/>
  <c r="E15" i="10"/>
  <c r="D16" i="10"/>
  <c r="E16" i="10"/>
  <c r="D15" i="9"/>
  <c r="E15" i="9"/>
  <c r="D16" i="9"/>
  <c r="E16" i="9"/>
  <c r="D15" i="8"/>
  <c r="E15" i="8"/>
  <c r="D16" i="8"/>
  <c r="E16" i="8"/>
  <c r="D15" i="16"/>
  <c r="E15" i="16"/>
  <c r="D16" i="16"/>
  <c r="E16" i="16"/>
  <c r="D15" i="15"/>
  <c r="E15" i="15"/>
  <c r="D16" i="15"/>
  <c r="E16" i="15"/>
  <c r="D15" i="14"/>
  <c r="E15" i="14"/>
  <c r="D16" i="14"/>
  <c r="E16" i="14"/>
  <c r="D15" i="13"/>
  <c r="E15" i="13"/>
  <c r="D16" i="13"/>
  <c r="E16" i="13"/>
  <c r="D15" i="7"/>
  <c r="E15" i="7"/>
  <c r="D16" i="7"/>
  <c r="E16" i="7"/>
  <c r="D15" i="6"/>
  <c r="E15" i="6"/>
  <c r="D16" i="6"/>
  <c r="E16" i="6"/>
  <c r="E4" i="10"/>
  <c r="D4" i="10"/>
  <c r="D5" i="10"/>
  <c r="D6" i="10"/>
  <c r="D7" i="10"/>
  <c r="C4" i="10"/>
  <c r="C4" i="9"/>
  <c r="C4" i="8"/>
  <c r="C4" i="16"/>
  <c r="C4" i="15"/>
  <c r="C4" i="14"/>
  <c r="C4" i="13"/>
  <c r="C4" i="7"/>
  <c r="C4" i="6"/>
  <c r="C2" i="10"/>
  <c r="D2" i="10" s="1"/>
  <c r="C2" i="9"/>
  <c r="C3" i="8"/>
  <c r="C2" i="8"/>
  <c r="C2" i="16"/>
  <c r="C2" i="15"/>
  <c r="C2" i="13"/>
  <c r="C2" i="7"/>
  <c r="C2" i="6"/>
  <c r="C3" i="6"/>
  <c r="C3" i="10"/>
  <c r="E3" i="10" s="1"/>
  <c r="C3" i="9"/>
  <c r="C3" i="16"/>
  <c r="C3" i="15"/>
  <c r="C3" i="14"/>
  <c r="C3" i="13"/>
  <c r="C3" i="7"/>
  <c r="E7" i="10"/>
  <c r="D7" i="9"/>
  <c r="E7" i="9"/>
  <c r="D7" i="8"/>
  <c r="E7" i="8"/>
  <c r="D7" i="16"/>
  <c r="E7" i="16"/>
  <c r="D7" i="15"/>
  <c r="E7" i="15"/>
  <c r="D7" i="14"/>
  <c r="E7" i="14"/>
  <c r="D7" i="13"/>
  <c r="E7" i="13"/>
  <c r="E7" i="7"/>
  <c r="D7" i="7"/>
  <c r="D7" i="6"/>
  <c r="E7" i="6"/>
  <c r="E8" i="6"/>
  <c r="E2" i="10" l="1"/>
  <c r="D3" i="10"/>
  <c r="E3" i="9"/>
  <c r="D3" i="9"/>
  <c r="E2" i="9"/>
  <c r="D2" i="9"/>
  <c r="E3" i="8"/>
  <c r="D3" i="8"/>
  <c r="E2" i="8"/>
  <c r="D2" i="8"/>
  <c r="E3" i="16"/>
  <c r="D3" i="16"/>
  <c r="E2" i="16"/>
  <c r="D2" i="16"/>
  <c r="E3" i="15"/>
  <c r="D3" i="15"/>
  <c r="E2" i="15"/>
  <c r="D2" i="15"/>
  <c r="E3" i="14"/>
  <c r="D3" i="14"/>
  <c r="E2" i="14"/>
  <c r="D2" i="14"/>
  <c r="E3" i="13"/>
  <c r="D3" i="13"/>
  <c r="E2" i="13"/>
  <c r="D2" i="13"/>
  <c r="E3" i="7"/>
  <c r="D3" i="7"/>
  <c r="E2" i="7"/>
  <c r="D2" i="7"/>
  <c r="E2" i="6"/>
  <c r="E3" i="6"/>
  <c r="D2" i="6"/>
  <c r="D3" i="6"/>
  <c r="J17" i="12"/>
  <c r="E18" i="10"/>
  <c r="D18" i="10"/>
  <c r="E17" i="10"/>
  <c r="D17" i="10"/>
  <c r="E21" i="10"/>
  <c r="D21" i="10"/>
  <c r="E20" i="10"/>
  <c r="D20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6" i="10"/>
  <c r="E5" i="10"/>
  <c r="E18" i="9"/>
  <c r="D18" i="9"/>
  <c r="E17" i="9"/>
  <c r="D17" i="9"/>
  <c r="E21" i="9"/>
  <c r="D21" i="9"/>
  <c r="E20" i="9"/>
  <c r="D20" i="9"/>
  <c r="E14" i="9"/>
  <c r="D14" i="9"/>
  <c r="E13" i="9"/>
  <c r="D13" i="9"/>
  <c r="E12" i="9"/>
  <c r="D12" i="9"/>
  <c r="E11" i="9"/>
  <c r="D11" i="9"/>
  <c r="E10" i="9"/>
  <c r="D10" i="9"/>
  <c r="E9" i="9"/>
  <c r="D9" i="9"/>
  <c r="E8" i="9"/>
  <c r="D8" i="9"/>
  <c r="E6" i="9"/>
  <c r="D6" i="9"/>
  <c r="E5" i="9"/>
  <c r="D5" i="9"/>
  <c r="E4" i="9"/>
  <c r="D4" i="9"/>
  <c r="E18" i="8"/>
  <c r="D18" i="8"/>
  <c r="E17" i="8"/>
  <c r="D17" i="8"/>
  <c r="E21" i="8"/>
  <c r="D21" i="8"/>
  <c r="E20" i="8"/>
  <c r="D20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6" i="8"/>
  <c r="D6" i="8"/>
  <c r="E5" i="8"/>
  <c r="D5" i="8"/>
  <c r="E4" i="8"/>
  <c r="D4" i="8"/>
  <c r="E18" i="16"/>
  <c r="D18" i="16"/>
  <c r="E17" i="16"/>
  <c r="D17" i="16"/>
  <c r="E21" i="16"/>
  <c r="D21" i="16"/>
  <c r="E20" i="16"/>
  <c r="D20" i="16"/>
  <c r="E14" i="16"/>
  <c r="D14" i="16"/>
  <c r="E13" i="16"/>
  <c r="D13" i="16"/>
  <c r="E12" i="16"/>
  <c r="D12" i="16"/>
  <c r="E11" i="16"/>
  <c r="D11" i="16"/>
  <c r="E10" i="16"/>
  <c r="D10" i="16"/>
  <c r="E9" i="16"/>
  <c r="D9" i="16"/>
  <c r="E8" i="16"/>
  <c r="D8" i="16"/>
  <c r="E6" i="16"/>
  <c r="D6" i="16"/>
  <c r="E5" i="16"/>
  <c r="D5" i="16"/>
  <c r="E4" i="16"/>
  <c r="D4" i="16"/>
  <c r="E18" i="15"/>
  <c r="D18" i="15"/>
  <c r="E17" i="15"/>
  <c r="D17" i="15"/>
  <c r="E21" i="15"/>
  <c r="D21" i="15"/>
  <c r="E20" i="15"/>
  <c r="D20" i="15"/>
  <c r="E14" i="15"/>
  <c r="D14" i="15"/>
  <c r="E13" i="15"/>
  <c r="D13" i="15"/>
  <c r="E12" i="15"/>
  <c r="D12" i="15"/>
  <c r="E11" i="15"/>
  <c r="D11" i="15"/>
  <c r="E10" i="15"/>
  <c r="D10" i="15"/>
  <c r="E9" i="15"/>
  <c r="D9" i="15"/>
  <c r="E8" i="15"/>
  <c r="D8" i="15"/>
  <c r="E6" i="15"/>
  <c r="D6" i="15"/>
  <c r="E5" i="15"/>
  <c r="D5" i="15"/>
  <c r="E4" i="15"/>
  <c r="D4" i="15"/>
  <c r="E18" i="14"/>
  <c r="D18" i="14"/>
  <c r="E17" i="14"/>
  <c r="D17" i="14"/>
  <c r="E21" i="14"/>
  <c r="D21" i="14"/>
  <c r="E20" i="14"/>
  <c r="D20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8" i="14"/>
  <c r="D8" i="14"/>
  <c r="E6" i="14"/>
  <c r="D6" i="14"/>
  <c r="E5" i="14"/>
  <c r="D5" i="14"/>
  <c r="E4" i="14"/>
  <c r="D4" i="14"/>
  <c r="E18" i="13"/>
  <c r="D18" i="13"/>
  <c r="E17" i="13"/>
  <c r="D17" i="13"/>
  <c r="E21" i="13"/>
  <c r="D21" i="13"/>
  <c r="E20" i="13"/>
  <c r="D20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E8" i="13"/>
  <c r="D8" i="13"/>
  <c r="E6" i="13"/>
  <c r="D6" i="13"/>
  <c r="E5" i="13"/>
  <c r="D5" i="13"/>
  <c r="E4" i="13"/>
  <c r="D4" i="13"/>
  <c r="E27" i="12"/>
  <c r="D27" i="12"/>
  <c r="E26" i="12"/>
  <c r="D26" i="12"/>
  <c r="E25" i="12"/>
  <c r="D25" i="12"/>
  <c r="E10" i="12"/>
  <c r="D10" i="12"/>
  <c r="C10" i="12"/>
  <c r="E18" i="7"/>
  <c r="D18" i="7"/>
  <c r="E17" i="7"/>
  <c r="D17" i="7"/>
  <c r="E21" i="7"/>
  <c r="D21" i="7"/>
  <c r="E20" i="7"/>
  <c r="D20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6" i="7"/>
  <c r="D6" i="7"/>
  <c r="E5" i="7"/>
  <c r="D5" i="7"/>
  <c r="E4" i="7"/>
  <c r="D4" i="7"/>
  <c r="D4" i="6"/>
  <c r="E4" i="6"/>
  <c r="D5" i="6"/>
  <c r="E5" i="6"/>
  <c r="D6" i="6"/>
  <c r="E6" i="6"/>
  <c r="D8" i="6"/>
  <c r="D9" i="6"/>
  <c r="E9" i="6"/>
  <c r="D10" i="6"/>
  <c r="E10" i="6"/>
  <c r="D11" i="6"/>
  <c r="E11" i="6"/>
  <c r="D12" i="6"/>
  <c r="E12" i="6"/>
  <c r="D13" i="6"/>
  <c r="E13" i="6"/>
  <c r="D14" i="6"/>
  <c r="E14" i="6"/>
  <c r="D20" i="6"/>
  <c r="E20" i="6"/>
  <c r="D21" i="6"/>
  <c r="E21" i="6"/>
  <c r="D17" i="6"/>
  <c r="E17" i="6"/>
  <c r="D18" i="6"/>
  <c r="E18" i="6"/>
</calcChain>
</file>

<file path=xl/sharedStrings.xml><?xml version="1.0" encoding="utf-8"?>
<sst xmlns="http://schemas.openxmlformats.org/spreadsheetml/2006/main" count="1630" uniqueCount="131">
  <si>
    <t>ecoinvent 3</t>
  </si>
  <si>
    <t>uniform</t>
  </si>
  <si>
    <t>references</t>
  </si>
  <si>
    <t>distribution</t>
  </si>
  <si>
    <t>high</t>
  </si>
  <si>
    <t>low</t>
  </si>
  <si>
    <t>expected</t>
  </si>
  <si>
    <t>functional_unit</t>
  </si>
  <si>
    <t>kg</t>
  </si>
  <si>
    <t>ID</t>
  </si>
  <si>
    <t>unit</t>
  </si>
  <si>
    <t>kg CO2-eq</t>
  </si>
  <si>
    <t>SimaPro (median, min-max for different truck sizes)</t>
  </si>
  <si>
    <t>ElectricMotor</t>
  </si>
  <si>
    <t>Electronics</t>
  </si>
  <si>
    <t>CatalyticConverter</t>
  </si>
  <si>
    <t>OilHeatExchanger</t>
  </si>
  <si>
    <t>Pump</t>
  </si>
  <si>
    <t>HydronicHeatExchanger</t>
  </si>
  <si>
    <t>ElectricConnectors</t>
  </si>
  <si>
    <t>ElectricCables</t>
  </si>
  <si>
    <t>PVC</t>
  </si>
  <si>
    <t>PE</t>
  </si>
  <si>
    <t>CationicResin</t>
  </si>
  <si>
    <t>Polymer</t>
  </si>
  <si>
    <t>Ceramic</t>
  </si>
  <si>
    <t>Fan</t>
  </si>
  <si>
    <t>compressor</t>
  </si>
  <si>
    <t>stainless steel</t>
  </si>
  <si>
    <t>steel</t>
  </si>
  <si>
    <t>RO</t>
  </si>
  <si>
    <t>H2SO4</t>
  </si>
  <si>
    <t>MgCl2</t>
  </si>
  <si>
    <t>H2</t>
  </si>
  <si>
    <t>MgO</t>
  </si>
  <si>
    <t>NaOH</t>
  </si>
  <si>
    <t>NH4Cl</t>
  </si>
  <si>
    <t>CHG catalyst</t>
  </si>
  <si>
    <t>HT&amp;HC catalyst</t>
  </si>
  <si>
    <t>electricity</t>
  </si>
  <si>
    <t>m2</t>
  </si>
  <si>
    <t>kWh</t>
  </si>
  <si>
    <t>moles of H+-eq</t>
  </si>
  <si>
    <t>kg 2,4-D-eq</t>
  </si>
  <si>
    <t>kg N</t>
  </si>
  <si>
    <t>kg CFC-11-eq</t>
  </si>
  <si>
    <t>kg NOx-eq</t>
  </si>
  <si>
    <t>kg benzene-eq</t>
  </si>
  <si>
    <t>kg toluene-eq</t>
  </si>
  <si>
    <t>kg PM2.5-eq</t>
  </si>
  <si>
    <t>Excavation</t>
  </si>
  <si>
    <t>Brick</t>
  </si>
  <si>
    <t>Cement</t>
  </si>
  <si>
    <t>Concrete</t>
  </si>
  <si>
    <t>Gravel</t>
  </si>
  <si>
    <t>Plastic</t>
  </si>
  <si>
    <t>Sand</t>
  </si>
  <si>
    <t>StainlessSteel</t>
  </si>
  <si>
    <t>StainlessSteelSheet</t>
  </si>
  <si>
    <t>Steel</t>
  </si>
  <si>
    <t>Wood</t>
  </si>
  <si>
    <t>Trucking</t>
  </si>
  <si>
    <t>description</t>
  </si>
  <si>
    <t>air compressor production, screw-type compressor, 300kW, RoW</t>
  </si>
  <si>
    <t>Notes</t>
  </si>
  <si>
    <t>furnace</t>
  </si>
  <si>
    <t>Region</t>
  </si>
  <si>
    <t>GLO</t>
  </si>
  <si>
    <t>market for steel, low-alloyed</t>
  </si>
  <si>
    <t>market for steel, chromium steel 18/8</t>
  </si>
  <si>
    <t>reinforcing steel</t>
  </si>
  <si>
    <t>concrete</t>
  </si>
  <si>
    <t>2500 kg/m2</t>
  </si>
  <si>
    <t>7850 kg/m3</t>
  </si>
  <si>
    <t>market for reinforcing steel</t>
  </si>
  <si>
    <t>market group for concrete, normal</t>
  </si>
  <si>
    <t>market for blast furnace</t>
  </si>
  <si>
    <t>linearly scale other parameters based on 1.26 kg CO2 eq/kg (Jouni Havukainen 2018)</t>
  </si>
  <si>
    <t>kW</t>
  </si>
  <si>
    <t>linearly scale based on compressor power (ideal power/efficiency/0.8): 0.8 as a safety factor</t>
  </si>
  <si>
    <t>market for magnesium chloride, from titanium sponge production</t>
  </si>
  <si>
    <t>market for magnesium oxide</t>
  </si>
  <si>
    <t>sodium hydroxide to generic market for neutralising agent</t>
  </si>
  <si>
    <t>struvite</t>
  </si>
  <si>
    <t>(NH4)2SO4</t>
  </si>
  <si>
    <t>market for hydrogen, gaseous</t>
  </si>
  <si>
    <t>gas</t>
  </si>
  <si>
    <t>market for ammonium sulfate</t>
  </si>
  <si>
    <t>RoW</t>
  </si>
  <si>
    <t>natural gas liquids production</t>
  </si>
  <si>
    <t>natural gas</t>
  </si>
  <si>
    <t>liquid</t>
  </si>
  <si>
    <t>market for ammonium chloride</t>
  </si>
  <si>
    <t>market for seawater reverse osmosis module</t>
  </si>
  <si>
    <t>market for sulfuric acid</t>
  </si>
  <si>
    <t>struvite can potentially replace monoammonium phosphate (NH4H2PO4), 245.41 kg struvite = 115.03 kg NH4H2PO4</t>
  </si>
  <si>
    <t>monoammonium phosphate production</t>
  </si>
  <si>
    <t>medium voltage</t>
  </si>
  <si>
    <t>market group for electricity, medium voltage</t>
  </si>
  <si>
    <t>calculated based on SS 2016 Life cycle greenhouse gas emissions analysis of catalysts for hydrotreating of fast pyrolysis bio-oil</t>
  </si>
  <si>
    <t>Al2O3</t>
  </si>
  <si>
    <t>deionized water</t>
  </si>
  <si>
    <t>H3PO4</t>
  </si>
  <si>
    <t>MoO3</t>
  </si>
  <si>
    <t>CoO</t>
  </si>
  <si>
    <t>sulfur</t>
  </si>
  <si>
    <t>hydrogen</t>
  </si>
  <si>
    <t>diesel</t>
  </si>
  <si>
    <t>activated carbon</t>
  </si>
  <si>
    <t>Cl2</t>
  </si>
  <si>
    <t>N2</t>
  </si>
  <si>
    <t>market for aluminium oxide, non-metallurgical</t>
  </si>
  <si>
    <t>market for water, deionised</t>
  </si>
  <si>
    <t>purification of wet-process phosphoric acid to industrial grade, product in 85% solution state</t>
  </si>
  <si>
    <t>molybdenum trioxide production</t>
  </si>
  <si>
    <t>market for cobalt oxide</t>
  </si>
  <si>
    <t>market for sulfur</t>
  </si>
  <si>
    <t>market for nitrogen, liquid</t>
  </si>
  <si>
    <t>market for chlorine, gaseous</t>
  </si>
  <si>
    <t>market for rhodium</t>
  </si>
  <si>
    <t>market for activated carbon, granular</t>
  </si>
  <si>
    <t>market group for diesel</t>
  </si>
  <si>
    <t>cooling</t>
  </si>
  <si>
    <t>steam</t>
  </si>
  <si>
    <t>market for heat, from steam, in chemical industry</t>
  </si>
  <si>
    <t>MJ</t>
  </si>
  <si>
    <t>market for cooling energy</t>
  </si>
  <si>
    <t>natural gas, burned in micro gas turbine</t>
  </si>
  <si>
    <t>diluted to 5% using deionized water</t>
  </si>
  <si>
    <t>Rhodium</t>
  </si>
  <si>
    <t>liquid/if used, account for  CO2 emission here, add to GWP only, MW of natural gas is 19 (1 C): https://www.engineeringtoolbox.com/molecular-weight-gas-vapor-d_1156.html (accessed 12-2-2022)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</si>
</sst>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3" fillId="0" borderId="0" xfId="0" applyFont="1" applyFill="1"/>
    <xf numFmtId="0" fontId="3" fillId="0" borderId="0" xfId="0" applyFont="1"/>
    <xf numFmtId="0" fontId="2" fillId="3" borderId="0" xfId="0" applyNumberFormat="1" applyFont="1" applyFill="1"/>
    <xf numFmtId="0" fontId="2" fillId="3" borderId="0" xfId="0" applyFont="1" applyFill="1"/>
    <xf numFmtId="0" fontId="3" fillId="2" borderId="0" xfId="0" applyNumberFormat="1" applyFont="1" applyFill="1"/>
    <xf numFmtId="0" fontId="3" fillId="2" borderId="0" xfId="0" applyFont="1" applyFill="1"/>
    <xf numFmtId="11" fontId="0" fillId="0" borderId="0" xfId="0" applyNumberFormat="1"/>
    <xf numFmtId="11" fontId="2" fillId="0" borderId="0" xfId="0" applyNumberFormat="1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E38"/>
  <sheetViews>
    <sheetView workbookViewId="0">
      <selection activeCell="B20" sqref="B20"/>
    </sheetView>
  </sheetViews>
  <sheetFormatPr baseColWidth="10" defaultColWidth="10.6640625" defaultRowHeight="16" x14ac:dyDescent="0.2"/>
  <cols>
    <col min="1" max="1" width="23.83203125" style="2" bestFit="1" customWidth="1"/>
    <col min="2" max="2" width="18.33203125" style="2" bestFit="1" customWidth="1"/>
    <col min="3" max="3" width="86.1640625" style="2" bestFit="1" customWidth="1"/>
    <col min="4" max="4" width="29.33203125" style="2" customWidth="1"/>
    <col min="5" max="5" width="201.33203125" style="2" bestFit="1" customWidth="1"/>
    <col min="6" max="16384" width="10.6640625" style="2"/>
  </cols>
  <sheetData>
    <row r="1" spans="1:5" x14ac:dyDescent="0.2">
      <c r="A1" s="1" t="s">
        <v>9</v>
      </c>
      <c r="B1" s="1" t="s">
        <v>7</v>
      </c>
      <c r="C1" s="1" t="s">
        <v>62</v>
      </c>
      <c r="D1" s="1" t="s">
        <v>66</v>
      </c>
      <c r="E1" s="1" t="s">
        <v>64</v>
      </c>
    </row>
    <row r="2" spans="1:5" x14ac:dyDescent="0.2">
      <c r="A2" s="2" t="s">
        <v>65</v>
      </c>
      <c r="B2" s="2" t="s">
        <v>8</v>
      </c>
      <c r="C2" s="2" t="s">
        <v>76</v>
      </c>
      <c r="D2" s="2" t="s">
        <v>67</v>
      </c>
      <c r="E2" s="2" t="s">
        <v>77</v>
      </c>
    </row>
    <row r="3" spans="1:5" x14ac:dyDescent="0.2">
      <c r="A3" s="2" t="s">
        <v>71</v>
      </c>
      <c r="B3" s="2" t="s">
        <v>8</v>
      </c>
      <c r="C3" s="2" t="s">
        <v>75</v>
      </c>
      <c r="D3" s="2" t="s">
        <v>67</v>
      </c>
      <c r="E3" s="2" t="s">
        <v>72</v>
      </c>
    </row>
    <row r="4" spans="1:5" x14ac:dyDescent="0.2">
      <c r="A4" s="2" t="s">
        <v>27</v>
      </c>
      <c r="B4" s="2" t="s">
        <v>78</v>
      </c>
      <c r="C4" s="2" t="s">
        <v>63</v>
      </c>
      <c r="D4" s="2" t="s">
        <v>67</v>
      </c>
      <c r="E4" s="2" t="s">
        <v>79</v>
      </c>
    </row>
    <row r="5" spans="1:5" x14ac:dyDescent="0.2">
      <c r="A5" s="2" t="s">
        <v>28</v>
      </c>
      <c r="B5" s="2" t="s">
        <v>8</v>
      </c>
      <c r="C5" s="2" t="s">
        <v>69</v>
      </c>
      <c r="D5" s="2" t="s">
        <v>67</v>
      </c>
    </row>
    <row r="6" spans="1:5" x14ac:dyDescent="0.2">
      <c r="A6" s="2" t="s">
        <v>29</v>
      </c>
      <c r="B6" s="2" t="s">
        <v>8</v>
      </c>
      <c r="C6" s="2" t="s">
        <v>68</v>
      </c>
      <c r="D6" s="2" t="s">
        <v>67</v>
      </c>
    </row>
    <row r="7" spans="1:5" x14ac:dyDescent="0.2">
      <c r="A7" s="2" t="s">
        <v>70</v>
      </c>
      <c r="B7" s="2" t="s">
        <v>8</v>
      </c>
      <c r="C7" s="2" t="s">
        <v>74</v>
      </c>
      <c r="D7" s="2" t="s">
        <v>67</v>
      </c>
      <c r="E7" s="2" t="s">
        <v>73</v>
      </c>
    </row>
    <row r="8" spans="1:5" x14ac:dyDescent="0.2">
      <c r="A8" s="2" t="s">
        <v>30</v>
      </c>
      <c r="B8" s="2" t="s">
        <v>40</v>
      </c>
      <c r="C8" s="2" t="s">
        <v>93</v>
      </c>
      <c r="D8" s="2" t="s">
        <v>67</v>
      </c>
    </row>
    <row r="9" spans="1:5" x14ac:dyDescent="0.2">
      <c r="A9" s="2" t="s">
        <v>31</v>
      </c>
      <c r="B9" s="2" t="s">
        <v>8</v>
      </c>
      <c r="C9" s="2" t="s">
        <v>94</v>
      </c>
      <c r="D9" s="2" t="s">
        <v>88</v>
      </c>
      <c r="E9" s="2" t="s">
        <v>128</v>
      </c>
    </row>
    <row r="10" spans="1:5" x14ac:dyDescent="0.2">
      <c r="A10" s="2" t="s">
        <v>32</v>
      </c>
      <c r="B10" s="2" t="s">
        <v>8</v>
      </c>
      <c r="C10" s="2" t="s">
        <v>80</v>
      </c>
      <c r="D10" s="2" t="s">
        <v>67</v>
      </c>
    </row>
    <row r="11" spans="1:5" x14ac:dyDescent="0.2">
      <c r="A11" s="2" t="s">
        <v>33</v>
      </c>
      <c r="B11" s="2" t="s">
        <v>8</v>
      </c>
      <c r="C11" s="2" t="s">
        <v>85</v>
      </c>
      <c r="D11" s="2" t="s">
        <v>67</v>
      </c>
      <c r="E11" s="2" t="s">
        <v>86</v>
      </c>
    </row>
    <row r="12" spans="1:5" x14ac:dyDescent="0.2">
      <c r="A12" s="2" t="s">
        <v>34</v>
      </c>
      <c r="B12" s="2" t="s">
        <v>8</v>
      </c>
      <c r="C12" s="2" t="s">
        <v>81</v>
      </c>
      <c r="D12" s="2" t="s">
        <v>67</v>
      </c>
    </row>
    <row r="13" spans="1:5" x14ac:dyDescent="0.2">
      <c r="A13" s="2" t="s">
        <v>35</v>
      </c>
      <c r="B13" s="2" t="s">
        <v>8</v>
      </c>
      <c r="C13" s="2" t="s">
        <v>82</v>
      </c>
      <c r="D13" s="2" t="s">
        <v>67</v>
      </c>
    </row>
    <row r="14" spans="1:5" x14ac:dyDescent="0.2">
      <c r="A14" s="2" t="s">
        <v>36</v>
      </c>
      <c r="B14" s="2" t="s">
        <v>8</v>
      </c>
      <c r="C14" s="2" t="s">
        <v>92</v>
      </c>
      <c r="D14" s="2" t="s">
        <v>67</v>
      </c>
    </row>
    <row r="15" spans="1:5" x14ac:dyDescent="0.2">
      <c r="A15" s="2" t="s">
        <v>83</v>
      </c>
      <c r="B15" s="2" t="s">
        <v>8</v>
      </c>
      <c r="C15" s="2" t="s">
        <v>96</v>
      </c>
      <c r="D15" s="2" t="s">
        <v>88</v>
      </c>
      <c r="E15" s="2" t="s">
        <v>95</v>
      </c>
    </row>
    <row r="16" spans="1:5" x14ac:dyDescent="0.2">
      <c r="A16" s="2" t="s">
        <v>84</v>
      </c>
      <c r="B16" s="2" t="s">
        <v>8</v>
      </c>
      <c r="C16" s="2" t="s">
        <v>87</v>
      </c>
      <c r="D16" s="2" t="s">
        <v>88</v>
      </c>
    </row>
    <row r="17" spans="1:5" x14ac:dyDescent="0.2">
      <c r="A17" s="2" t="s">
        <v>90</v>
      </c>
      <c r="B17" s="2" t="s">
        <v>8</v>
      </c>
      <c r="C17" s="2" t="s">
        <v>89</v>
      </c>
      <c r="D17" s="2" t="s">
        <v>67</v>
      </c>
      <c r="E17" s="2" t="s">
        <v>130</v>
      </c>
    </row>
    <row r="18" spans="1:5" x14ac:dyDescent="0.2">
      <c r="A18" s="2" t="s">
        <v>39</v>
      </c>
      <c r="B18" s="2" t="s">
        <v>41</v>
      </c>
      <c r="C18" s="2" t="s">
        <v>98</v>
      </c>
      <c r="D18" s="2" t="s">
        <v>67</v>
      </c>
      <c r="E18" s="2" t="s">
        <v>97</v>
      </c>
    </row>
    <row r="19" spans="1:5" x14ac:dyDescent="0.2">
      <c r="A19" s="2" t="s">
        <v>107</v>
      </c>
      <c r="B19" s="2" t="s">
        <v>8</v>
      </c>
      <c r="C19" s="2" t="s">
        <v>121</v>
      </c>
      <c r="D19" s="2" t="s">
        <v>67</v>
      </c>
    </row>
    <row r="20" spans="1:5" x14ac:dyDescent="0.2">
      <c r="A20" s="2" t="s">
        <v>37</v>
      </c>
      <c r="B20" s="2" t="s">
        <v>8</v>
      </c>
      <c r="C20" s="12" t="s">
        <v>99</v>
      </c>
      <c r="D20" s="12"/>
      <c r="E20" s="12"/>
    </row>
    <row r="21" spans="1:5" x14ac:dyDescent="0.2">
      <c r="A21" s="2" t="s">
        <v>38</v>
      </c>
      <c r="B21" s="2" t="s">
        <v>8</v>
      </c>
      <c r="C21" s="12" t="s">
        <v>99</v>
      </c>
      <c r="D21" s="12"/>
      <c r="E21" s="12"/>
    </row>
    <row r="23" spans="1:5" x14ac:dyDescent="0.2">
      <c r="A23" s="2" t="s">
        <v>100</v>
      </c>
      <c r="B23" s="2" t="s">
        <v>8</v>
      </c>
      <c r="C23" s="2" t="s">
        <v>111</v>
      </c>
      <c r="D23" s="2" t="s">
        <v>88</v>
      </c>
    </row>
    <row r="24" spans="1:5" x14ac:dyDescent="0.2">
      <c r="A24" s="2" t="s">
        <v>101</v>
      </c>
      <c r="B24" s="2" t="s">
        <v>8</v>
      </c>
      <c r="C24" s="2" t="s">
        <v>112</v>
      </c>
      <c r="D24" s="2" t="s">
        <v>88</v>
      </c>
    </row>
    <row r="25" spans="1:5" x14ac:dyDescent="0.2">
      <c r="A25" s="2" t="s">
        <v>102</v>
      </c>
      <c r="B25" s="2" t="s">
        <v>8</v>
      </c>
      <c r="C25" s="2" t="s">
        <v>113</v>
      </c>
      <c r="D25" s="2" t="s">
        <v>88</v>
      </c>
    </row>
    <row r="26" spans="1:5" x14ac:dyDescent="0.2">
      <c r="A26" s="2" t="s">
        <v>103</v>
      </c>
      <c r="B26" s="2" t="s">
        <v>8</v>
      </c>
      <c r="C26" s="2" t="s">
        <v>114</v>
      </c>
      <c r="D26" s="2" t="s">
        <v>67</v>
      </c>
    </row>
    <row r="27" spans="1:5" x14ac:dyDescent="0.2">
      <c r="A27" s="2" t="s">
        <v>104</v>
      </c>
      <c r="B27" s="2" t="s">
        <v>8</v>
      </c>
      <c r="C27" s="2" t="s">
        <v>115</v>
      </c>
      <c r="D27" s="2" t="s">
        <v>67</v>
      </c>
    </row>
    <row r="28" spans="1:5" x14ac:dyDescent="0.2">
      <c r="A28" s="2" t="s">
        <v>105</v>
      </c>
      <c r="B28" s="2" t="s">
        <v>8</v>
      </c>
      <c r="C28" s="2" t="s">
        <v>116</v>
      </c>
      <c r="D28" s="2" t="s">
        <v>67</v>
      </c>
    </row>
    <row r="29" spans="1:5" x14ac:dyDescent="0.2">
      <c r="A29" s="2" t="s">
        <v>106</v>
      </c>
      <c r="B29" s="2" t="s">
        <v>8</v>
      </c>
      <c r="C29" s="2" t="s">
        <v>85</v>
      </c>
      <c r="D29" s="2" t="s">
        <v>67</v>
      </c>
      <c r="E29" s="2" t="s">
        <v>86</v>
      </c>
    </row>
    <row r="30" spans="1:5" x14ac:dyDescent="0.2">
      <c r="A30" s="2" t="s">
        <v>107</v>
      </c>
      <c r="B30" s="2" t="s">
        <v>8</v>
      </c>
      <c r="C30" s="2" t="s">
        <v>121</v>
      </c>
      <c r="D30" s="2" t="s">
        <v>67</v>
      </c>
    </row>
    <row r="31" spans="1:5" x14ac:dyDescent="0.2">
      <c r="A31" s="2" t="s">
        <v>108</v>
      </c>
      <c r="B31" s="2" t="s">
        <v>8</v>
      </c>
      <c r="C31" s="2" t="s">
        <v>120</v>
      </c>
      <c r="D31" s="2" t="s">
        <v>67</v>
      </c>
    </row>
    <row r="32" spans="1:5" x14ac:dyDescent="0.2">
      <c r="A32" s="2" t="s">
        <v>129</v>
      </c>
      <c r="B32" s="2" t="s">
        <v>8</v>
      </c>
      <c r="C32" s="2" t="s">
        <v>119</v>
      </c>
      <c r="D32" s="2" t="s">
        <v>67</v>
      </c>
    </row>
    <row r="33" spans="1:5" x14ac:dyDescent="0.2">
      <c r="A33" s="2" t="s">
        <v>109</v>
      </c>
      <c r="B33" s="2" t="s">
        <v>8</v>
      </c>
      <c r="C33" s="2" t="s">
        <v>118</v>
      </c>
      <c r="D33" s="2" t="s">
        <v>88</v>
      </c>
      <c r="E33" s="2" t="s">
        <v>86</v>
      </c>
    </row>
    <row r="34" spans="1:5" x14ac:dyDescent="0.2">
      <c r="A34" s="2" t="s">
        <v>110</v>
      </c>
      <c r="B34" s="2" t="s">
        <v>8</v>
      </c>
      <c r="C34" s="2" t="s">
        <v>117</v>
      </c>
      <c r="D34" s="2" t="s">
        <v>88</v>
      </c>
      <c r="E34" s="2" t="s">
        <v>91</v>
      </c>
    </row>
    <row r="35" spans="1:5" x14ac:dyDescent="0.2">
      <c r="A35" s="2" t="s">
        <v>122</v>
      </c>
      <c r="B35" s="2" t="s">
        <v>125</v>
      </c>
      <c r="C35" s="2" t="s">
        <v>126</v>
      </c>
      <c r="D35" s="2" t="s">
        <v>67</v>
      </c>
    </row>
    <row r="36" spans="1:5" x14ac:dyDescent="0.2">
      <c r="A36" s="2" t="s">
        <v>90</v>
      </c>
      <c r="B36" s="2" t="s">
        <v>125</v>
      </c>
      <c r="C36" s="2" t="s">
        <v>127</v>
      </c>
      <c r="D36" s="2" t="s">
        <v>88</v>
      </c>
    </row>
    <row r="37" spans="1:5" x14ac:dyDescent="0.2">
      <c r="A37" s="2" t="s">
        <v>123</v>
      </c>
      <c r="B37" s="2" t="s">
        <v>125</v>
      </c>
      <c r="C37" s="2" t="s">
        <v>124</v>
      </c>
      <c r="D37" s="2" t="s">
        <v>88</v>
      </c>
    </row>
    <row r="38" spans="1:5" x14ac:dyDescent="0.2">
      <c r="A38" s="2" t="s">
        <v>39</v>
      </c>
      <c r="B38" s="2" t="s">
        <v>41</v>
      </c>
      <c r="C38" s="2" t="s">
        <v>98</v>
      </c>
      <c r="D38" s="2" t="s">
        <v>67</v>
      </c>
      <c r="E38" s="2" t="s">
        <v>97</v>
      </c>
    </row>
  </sheetData>
  <mergeCells count="2">
    <mergeCell ref="C20:E20"/>
    <mergeCell ref="C21:E2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E75BC-0D54-F046-9DC9-380953A4C8CF}">
  <dimension ref="A1:G38"/>
  <sheetViews>
    <sheetView topLeftCell="A6" workbookViewId="0">
      <selection activeCell="A23" sqref="A23:G38"/>
    </sheetView>
  </sheetViews>
  <sheetFormatPr baseColWidth="10" defaultRowHeight="16" x14ac:dyDescent="0.2"/>
  <cols>
    <col min="1" max="1" width="23.83203125" bestFit="1" customWidth="1"/>
    <col min="2" max="2" width="13.6640625" bestFit="1" customWidth="1"/>
    <col min="6" max="6" width="11.83203125" bestFit="1" customWidth="1"/>
    <col min="7" max="7" width="11.66406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65</v>
      </c>
      <c r="B2" s="2" t="s">
        <v>48</v>
      </c>
      <c r="C2" s="2">
        <f>1.26/74049000*2913900000</f>
        <v>49.582222582344123</v>
      </c>
      <c r="D2" s="2">
        <f t="shared" ref="D2:D3" si="0">C2*0.9</f>
        <v>44.624000324109709</v>
      </c>
      <c r="E2" s="2">
        <f t="shared" ref="E2:E3" si="1">C2*1.1</f>
        <v>54.540444840578537</v>
      </c>
      <c r="F2" s="4" t="s">
        <v>1</v>
      </c>
      <c r="G2" s="5" t="s">
        <v>0</v>
      </c>
    </row>
    <row r="3" spans="1:7" x14ac:dyDescent="0.2">
      <c r="A3" s="2" t="s">
        <v>71</v>
      </c>
      <c r="B3" s="2" t="s">
        <v>48</v>
      </c>
      <c r="C3" s="2">
        <f>3196.2/2500</f>
        <v>1.2784799999999998</v>
      </c>
      <c r="D3" s="2">
        <f t="shared" si="0"/>
        <v>1.1506319999999999</v>
      </c>
      <c r="E3" s="2">
        <f t="shared" si="1"/>
        <v>1.406328</v>
      </c>
      <c r="F3" s="4" t="s">
        <v>1</v>
      </c>
      <c r="G3" s="5" t="s">
        <v>0</v>
      </c>
    </row>
    <row r="4" spans="1:7" x14ac:dyDescent="0.2">
      <c r="A4" s="2" t="s">
        <v>27</v>
      </c>
      <c r="B4" s="2" t="s">
        <v>48</v>
      </c>
      <c r="C4" s="2">
        <f>1215800/300</f>
        <v>4052.6666666666665</v>
      </c>
      <c r="D4" s="2">
        <f t="shared" ref="D4:D14" si="2">C4*0.9</f>
        <v>3647.4</v>
      </c>
      <c r="E4" s="2">
        <f t="shared" ref="E4:E14" si="3">C4*1.1</f>
        <v>4457.9333333333334</v>
      </c>
      <c r="F4" s="4" t="s">
        <v>1</v>
      </c>
      <c r="G4" s="5" t="s">
        <v>0</v>
      </c>
    </row>
    <row r="5" spans="1:7" x14ac:dyDescent="0.2">
      <c r="A5" s="2" t="s">
        <v>28</v>
      </c>
      <c r="B5" s="2" t="s">
        <v>48</v>
      </c>
      <c r="C5" s="2">
        <v>164.73</v>
      </c>
      <c r="D5" s="2">
        <f t="shared" si="2"/>
        <v>148.25700000000001</v>
      </c>
      <c r="E5" s="2">
        <f t="shared" si="3"/>
        <v>181.203</v>
      </c>
      <c r="F5" s="4" t="s">
        <v>1</v>
      </c>
      <c r="G5" s="5" t="s">
        <v>0</v>
      </c>
    </row>
    <row r="6" spans="1:7" x14ac:dyDescent="0.2">
      <c r="A6" s="2" t="s">
        <v>29</v>
      </c>
      <c r="B6" s="2" t="s">
        <v>48</v>
      </c>
      <c r="C6" s="2">
        <v>25.210999999999999</v>
      </c>
      <c r="D6" s="2">
        <f t="shared" si="2"/>
        <v>22.689899999999998</v>
      </c>
      <c r="E6" s="2">
        <f t="shared" si="3"/>
        <v>27.732099999999999</v>
      </c>
      <c r="F6" s="3" t="s">
        <v>1</v>
      </c>
      <c r="G6" s="2" t="s">
        <v>0</v>
      </c>
    </row>
    <row r="7" spans="1:7" x14ac:dyDescent="0.2">
      <c r="A7" s="2" t="s">
        <v>70</v>
      </c>
      <c r="B7" s="2" t="s">
        <v>48</v>
      </c>
      <c r="C7" s="2">
        <v>24.747</v>
      </c>
      <c r="D7" s="2">
        <f t="shared" ref="D7" si="4">C7*0.9</f>
        <v>22.272300000000001</v>
      </c>
      <c r="E7" s="2">
        <f t="shared" ref="E7" si="5">C7*1.1</f>
        <v>27.221700000000002</v>
      </c>
      <c r="F7" s="3" t="s">
        <v>1</v>
      </c>
      <c r="G7" s="2" t="s">
        <v>0</v>
      </c>
    </row>
    <row r="8" spans="1:7" x14ac:dyDescent="0.2">
      <c r="A8" s="2" t="s">
        <v>30</v>
      </c>
      <c r="B8" s="2" t="s">
        <v>48</v>
      </c>
      <c r="C8" s="2">
        <v>31.8</v>
      </c>
      <c r="D8" s="2">
        <f t="shared" si="2"/>
        <v>28.62</v>
      </c>
      <c r="E8" s="2">
        <f t="shared" si="3"/>
        <v>34.980000000000004</v>
      </c>
      <c r="F8" s="3" t="s">
        <v>1</v>
      </c>
      <c r="G8" s="2" t="s">
        <v>0</v>
      </c>
    </row>
    <row r="9" spans="1:7" x14ac:dyDescent="0.2">
      <c r="A9" s="2" t="s">
        <v>31</v>
      </c>
      <c r="B9" s="2" t="s">
        <v>48</v>
      </c>
      <c r="C9" s="2">
        <f>33.458/20+19/20*C24</f>
        <v>1.6823781499999999</v>
      </c>
      <c r="D9" s="2">
        <f t="shared" si="2"/>
        <v>1.514140335</v>
      </c>
      <c r="E9" s="2">
        <f t="shared" si="3"/>
        <v>1.850615965</v>
      </c>
      <c r="F9" s="3" t="s">
        <v>1</v>
      </c>
      <c r="G9" s="2" t="s">
        <v>0</v>
      </c>
    </row>
    <row r="10" spans="1:7" x14ac:dyDescent="0.2">
      <c r="A10" s="2" t="s">
        <v>32</v>
      </c>
      <c r="B10" s="2" t="s">
        <v>48</v>
      </c>
      <c r="C10" s="2">
        <v>8.6915999999999993</v>
      </c>
      <c r="D10" s="2">
        <f t="shared" si="2"/>
        <v>7.8224399999999994</v>
      </c>
      <c r="E10" s="2">
        <f t="shared" si="3"/>
        <v>9.5607600000000001</v>
      </c>
      <c r="F10" s="3" t="s">
        <v>1</v>
      </c>
      <c r="G10" s="2" t="s">
        <v>0</v>
      </c>
    </row>
    <row r="11" spans="1:7" x14ac:dyDescent="0.2">
      <c r="A11" s="2" t="s">
        <v>33</v>
      </c>
      <c r="B11" s="2" t="s">
        <v>48</v>
      </c>
      <c r="C11" s="2">
        <v>8.5686999999999998</v>
      </c>
      <c r="D11" s="2">
        <f t="shared" si="2"/>
        <v>7.71183</v>
      </c>
      <c r="E11" s="2">
        <f t="shared" si="3"/>
        <v>9.4255700000000004</v>
      </c>
      <c r="F11" s="3" t="s">
        <v>1</v>
      </c>
      <c r="G11" s="2" t="s">
        <v>0</v>
      </c>
    </row>
    <row r="12" spans="1:7" x14ac:dyDescent="0.2">
      <c r="A12" s="2" t="s">
        <v>34</v>
      </c>
      <c r="B12" s="2" t="s">
        <v>48</v>
      </c>
      <c r="C12" s="2">
        <v>461.54</v>
      </c>
      <c r="D12" s="2">
        <f t="shared" si="2"/>
        <v>415.38600000000002</v>
      </c>
      <c r="E12" s="2">
        <f t="shared" si="3"/>
        <v>507.69400000000007</v>
      </c>
      <c r="F12" s="3" t="s">
        <v>1</v>
      </c>
      <c r="G12" s="2" t="s">
        <v>0</v>
      </c>
    </row>
    <row r="13" spans="1:7" x14ac:dyDescent="0.2">
      <c r="A13" s="2" t="s">
        <v>35</v>
      </c>
      <c r="B13" s="2" t="s">
        <v>48</v>
      </c>
      <c r="C13" s="2">
        <v>13.228</v>
      </c>
      <c r="D13" s="2">
        <f t="shared" si="2"/>
        <v>11.905200000000001</v>
      </c>
      <c r="E13" s="2">
        <f t="shared" si="3"/>
        <v>14.550800000000001</v>
      </c>
      <c r="F13" s="3" t="s">
        <v>1</v>
      </c>
      <c r="G13" s="2" t="s">
        <v>0</v>
      </c>
    </row>
    <row r="14" spans="1:7" x14ac:dyDescent="0.2">
      <c r="A14" s="2" t="s">
        <v>36</v>
      </c>
      <c r="B14" s="2" t="s">
        <v>48</v>
      </c>
      <c r="C14" s="2">
        <v>14.85</v>
      </c>
      <c r="D14" s="2">
        <f t="shared" si="2"/>
        <v>13.365</v>
      </c>
      <c r="E14" s="2">
        <f t="shared" si="3"/>
        <v>16.335000000000001</v>
      </c>
      <c r="F14" s="4" t="s">
        <v>1</v>
      </c>
      <c r="G14" s="5" t="s">
        <v>0</v>
      </c>
    </row>
    <row r="15" spans="1:7" x14ac:dyDescent="0.2">
      <c r="A15" s="2" t="s">
        <v>83</v>
      </c>
      <c r="B15" s="2" t="s">
        <v>48</v>
      </c>
      <c r="C15" s="2">
        <f>9.5931*115.03/245.41</f>
        <v>4.4965335275661138</v>
      </c>
      <c r="D15" s="2">
        <f t="shared" ref="D15:D16" si="6">C15*0.9</f>
        <v>4.0468801748095027</v>
      </c>
      <c r="E15" s="2">
        <f t="shared" ref="E15:E16" si="7">C15*1.1</f>
        <v>4.9461868803227258</v>
      </c>
      <c r="F15" s="3" t="s">
        <v>1</v>
      </c>
      <c r="G15" s="2" t="s">
        <v>0</v>
      </c>
    </row>
    <row r="16" spans="1:7" x14ac:dyDescent="0.2">
      <c r="A16" s="2" t="s">
        <v>84</v>
      </c>
      <c r="B16" s="2" t="s">
        <v>48</v>
      </c>
      <c r="C16" s="2">
        <v>62.932000000000002</v>
      </c>
      <c r="D16" s="2">
        <f t="shared" si="6"/>
        <v>56.638800000000003</v>
      </c>
      <c r="E16" s="2">
        <f t="shared" si="7"/>
        <v>69.225200000000001</v>
      </c>
      <c r="F16" s="3" t="s">
        <v>1</v>
      </c>
      <c r="G16" s="2" t="s">
        <v>0</v>
      </c>
    </row>
    <row r="17" spans="1:7" x14ac:dyDescent="0.2">
      <c r="A17" s="2" t="s">
        <v>90</v>
      </c>
      <c r="B17" s="2" t="s">
        <v>48</v>
      </c>
      <c r="C17" s="2">
        <v>4.3413000000000004</v>
      </c>
      <c r="D17" s="2">
        <f>C17*0.9</f>
        <v>3.9071700000000003</v>
      </c>
      <c r="E17" s="2">
        <f>C17*1.1</f>
        <v>4.775430000000001</v>
      </c>
      <c r="F17" s="3" t="s">
        <v>1</v>
      </c>
      <c r="G17" s="2" t="s">
        <v>0</v>
      </c>
    </row>
    <row r="18" spans="1:7" x14ac:dyDescent="0.2">
      <c r="A18" s="2" t="s">
        <v>39</v>
      </c>
      <c r="B18" s="2" t="s">
        <v>48</v>
      </c>
      <c r="C18" s="2">
        <v>2.1274000000000002</v>
      </c>
      <c r="D18" s="2">
        <f>C18*0.9</f>
        <v>1.9146600000000003</v>
      </c>
      <c r="E18" s="2">
        <f>C18*1.1</f>
        <v>2.3401400000000003</v>
      </c>
      <c r="F18" s="3" t="s">
        <v>1</v>
      </c>
      <c r="G18" s="2" t="s">
        <v>0</v>
      </c>
    </row>
    <row r="19" spans="1:7" x14ac:dyDescent="0.2">
      <c r="A19" s="2" t="s">
        <v>107</v>
      </c>
      <c r="B19" s="2" t="s">
        <v>48</v>
      </c>
      <c r="C19" s="2">
        <v>2.9281000000000001</v>
      </c>
      <c r="D19" s="2">
        <f>C19*0.9</f>
        <v>2.6352900000000004</v>
      </c>
      <c r="E19" s="2">
        <f>C19*1.1</f>
        <v>3.2209100000000004</v>
      </c>
      <c r="F19" s="3" t="s">
        <v>1</v>
      </c>
      <c r="G19" s="2" t="s">
        <v>0</v>
      </c>
    </row>
    <row r="20" spans="1:7" x14ac:dyDescent="0.2">
      <c r="A20" s="2" t="s">
        <v>37</v>
      </c>
      <c r="B20" s="2" t="s">
        <v>48</v>
      </c>
      <c r="C20" s="2">
        <f>0.147*C37+0.1222*C35+87.3/3600*C38+2.3704*C37+0.312*C36+(1000-1000*7.8/100/101.07*207.43)/1000*C31+0.9454*C24+1000*7.8/100/1000*C32/35335*2665+1000*7.8/100/101.07*(207.43-101.07)/1000*C33+0.487*1000*7.8/100/101.07*207.43/1000*C38+2.59/1000*C34</f>
        <v>27306.372319349357</v>
      </c>
      <c r="D20" s="2">
        <f>C20*0.9</f>
        <v>24575.735087414421</v>
      </c>
      <c r="E20" s="2">
        <f>C20*1.1</f>
        <v>30037.009551284296</v>
      </c>
      <c r="F20" s="3" t="s">
        <v>1</v>
      </c>
      <c r="G20" s="2" t="s">
        <v>0</v>
      </c>
    </row>
    <row r="21" spans="1:7" x14ac:dyDescent="0.2">
      <c r="A21" s="2" t="s">
        <v>38</v>
      </c>
      <c r="B21" s="2" t="s">
        <v>48</v>
      </c>
      <c r="C21" s="2">
        <f>0.4168*C36+3.358*C35+0.206*C37+1.6569*C37+0.4856*C36+0.0149*C38+1.2669*C36+0.7722*C23+0.6177*C24+0.0349*C25+0.136*C26+0.0834*C27+0.0973*C28+0.0088*C29+1.301*C30</f>
        <v>369.79168803089993</v>
      </c>
      <c r="D21" s="2">
        <f>C21*0.9</f>
        <v>332.81251922780996</v>
      </c>
      <c r="E21" s="2">
        <f>C21*1.1</f>
        <v>406.77085683398997</v>
      </c>
      <c r="F21" s="3" t="s">
        <v>1</v>
      </c>
      <c r="G21" s="2" t="s">
        <v>0</v>
      </c>
    </row>
    <row r="23" spans="1:7" x14ac:dyDescent="0.2">
      <c r="A23" s="2" t="s">
        <v>100</v>
      </c>
      <c r="B23" s="2" t="s">
        <v>48</v>
      </c>
      <c r="C23" s="2">
        <v>14.368</v>
      </c>
      <c r="D23" s="2">
        <f t="shared" ref="D23:D38" si="8">C23*0.9</f>
        <v>12.9312</v>
      </c>
      <c r="E23" s="2">
        <f t="shared" ref="E23:E38" si="9">C23*1.1</f>
        <v>15.804800000000002</v>
      </c>
      <c r="F23" s="3" t="s">
        <v>1</v>
      </c>
      <c r="G23" s="2" t="s">
        <v>0</v>
      </c>
    </row>
    <row r="24" spans="1:7" x14ac:dyDescent="0.2">
      <c r="A24" s="2" t="s">
        <v>101</v>
      </c>
      <c r="B24" s="2" t="s">
        <v>48</v>
      </c>
      <c r="C24" s="2">
        <v>9.9769999999999998E-3</v>
      </c>
      <c r="D24" s="2">
        <f t="shared" si="8"/>
        <v>8.9793000000000008E-3</v>
      </c>
      <c r="E24" s="2">
        <f t="shared" si="9"/>
        <v>1.09747E-2</v>
      </c>
      <c r="F24" s="3" t="s">
        <v>1</v>
      </c>
      <c r="G24" s="2" t="s">
        <v>0</v>
      </c>
    </row>
    <row r="25" spans="1:7" x14ac:dyDescent="0.2">
      <c r="A25" s="2" t="s">
        <v>102</v>
      </c>
      <c r="B25" s="2" t="s">
        <v>48</v>
      </c>
      <c r="C25" s="2">
        <v>61.475000000000001</v>
      </c>
      <c r="D25" s="2">
        <f t="shared" si="8"/>
        <v>55.327500000000001</v>
      </c>
      <c r="E25" s="2">
        <f t="shared" si="9"/>
        <v>67.622500000000002</v>
      </c>
      <c r="F25" s="3" t="s">
        <v>1</v>
      </c>
      <c r="G25" s="2" t="s">
        <v>0</v>
      </c>
    </row>
    <row r="26" spans="1:7" x14ac:dyDescent="0.2">
      <c r="A26" s="2" t="s">
        <v>103</v>
      </c>
      <c r="B26" s="2" t="s">
        <v>48</v>
      </c>
      <c r="C26" s="2">
        <v>629.38</v>
      </c>
      <c r="D26" s="2">
        <f t="shared" si="8"/>
        <v>566.44200000000001</v>
      </c>
      <c r="E26" s="2">
        <f t="shared" si="9"/>
        <v>692.3180000000001</v>
      </c>
      <c r="F26" s="3" t="s">
        <v>1</v>
      </c>
      <c r="G26" s="2" t="s">
        <v>0</v>
      </c>
    </row>
    <row r="27" spans="1:7" x14ac:dyDescent="0.2">
      <c r="A27" s="2" t="s">
        <v>104</v>
      </c>
      <c r="B27" s="2" t="s">
        <v>48</v>
      </c>
      <c r="C27" s="2">
        <v>3167.2</v>
      </c>
      <c r="D27" s="2">
        <f t="shared" si="8"/>
        <v>2850.48</v>
      </c>
      <c r="E27" s="2">
        <f t="shared" si="9"/>
        <v>3483.92</v>
      </c>
      <c r="F27" s="3" t="s">
        <v>1</v>
      </c>
      <c r="G27" s="2" t="s">
        <v>0</v>
      </c>
    </row>
    <row r="28" spans="1:7" x14ac:dyDescent="0.2">
      <c r="A28" s="2" t="s">
        <v>105</v>
      </c>
      <c r="B28" s="2" t="s">
        <v>48</v>
      </c>
      <c r="C28" s="2">
        <v>1.2511000000000001</v>
      </c>
      <c r="D28" s="2">
        <f t="shared" si="8"/>
        <v>1.12599</v>
      </c>
      <c r="E28" s="2">
        <f t="shared" si="9"/>
        <v>1.3762100000000002</v>
      </c>
      <c r="F28" s="3" t="s">
        <v>1</v>
      </c>
      <c r="G28" s="2" t="s">
        <v>0</v>
      </c>
    </row>
    <row r="29" spans="1:7" x14ac:dyDescent="0.2">
      <c r="A29" s="2" t="s">
        <v>106</v>
      </c>
      <c r="B29" s="2" t="s">
        <v>48</v>
      </c>
      <c r="C29" s="2">
        <v>8.5686999999999998</v>
      </c>
      <c r="D29" s="2">
        <f t="shared" si="8"/>
        <v>7.71183</v>
      </c>
      <c r="E29" s="2">
        <f t="shared" si="9"/>
        <v>9.4255700000000004</v>
      </c>
      <c r="F29" s="3" t="s">
        <v>1</v>
      </c>
      <c r="G29" s="2" t="s">
        <v>0</v>
      </c>
    </row>
    <row r="30" spans="1:7" x14ac:dyDescent="0.2">
      <c r="A30" s="2" t="s">
        <v>107</v>
      </c>
      <c r="B30" s="2" t="s">
        <v>48</v>
      </c>
      <c r="C30" s="2">
        <v>2.9281000000000001</v>
      </c>
      <c r="D30" s="2">
        <f t="shared" si="8"/>
        <v>2.6352900000000004</v>
      </c>
      <c r="E30" s="2">
        <f t="shared" si="9"/>
        <v>3.2209100000000004</v>
      </c>
      <c r="F30" s="3" t="s">
        <v>1</v>
      </c>
      <c r="G30" s="2" t="s">
        <v>0</v>
      </c>
    </row>
    <row r="31" spans="1:7" x14ac:dyDescent="0.2">
      <c r="A31" s="2" t="s">
        <v>108</v>
      </c>
      <c r="B31" s="2" t="s">
        <v>48</v>
      </c>
      <c r="C31" s="2">
        <v>17.436</v>
      </c>
      <c r="D31" s="2">
        <f t="shared" si="8"/>
        <v>15.692400000000001</v>
      </c>
      <c r="E31" s="2">
        <f t="shared" si="9"/>
        <v>19.179600000000001</v>
      </c>
      <c r="F31" s="3" t="s">
        <v>1</v>
      </c>
      <c r="G31" s="2" t="s">
        <v>0</v>
      </c>
    </row>
    <row r="32" spans="1:7" x14ac:dyDescent="0.2">
      <c r="A32" s="2" t="s">
        <v>129</v>
      </c>
      <c r="B32" s="2" t="s">
        <v>48</v>
      </c>
      <c r="C32" s="2">
        <v>4638900</v>
      </c>
      <c r="D32" s="2">
        <f t="shared" si="8"/>
        <v>4175010</v>
      </c>
      <c r="E32" s="2">
        <f t="shared" si="9"/>
        <v>5102790</v>
      </c>
      <c r="F32" s="3" t="s">
        <v>1</v>
      </c>
      <c r="G32" s="2" t="s">
        <v>0</v>
      </c>
    </row>
    <row r="33" spans="1:7" x14ac:dyDescent="0.2">
      <c r="A33" s="2" t="s">
        <v>109</v>
      </c>
      <c r="B33" s="2" t="s">
        <v>48</v>
      </c>
      <c r="C33" s="2">
        <v>8.4166000000000007</v>
      </c>
      <c r="D33" s="2">
        <f t="shared" si="8"/>
        <v>7.5749400000000007</v>
      </c>
      <c r="E33" s="2">
        <f t="shared" si="9"/>
        <v>9.2582600000000017</v>
      </c>
      <c r="F33" s="3" t="s">
        <v>1</v>
      </c>
      <c r="G33" s="2" t="s">
        <v>0</v>
      </c>
    </row>
    <row r="34" spans="1:7" x14ac:dyDescent="0.2">
      <c r="A34" s="2" t="s">
        <v>110</v>
      </c>
      <c r="B34" s="2" t="s">
        <v>48</v>
      </c>
      <c r="C34" s="2">
        <v>1.4612000000000001</v>
      </c>
      <c r="D34" s="2">
        <f t="shared" si="8"/>
        <v>1.31508</v>
      </c>
      <c r="E34" s="2">
        <f t="shared" si="9"/>
        <v>1.6073200000000001</v>
      </c>
      <c r="F34" s="3" t="s">
        <v>1</v>
      </c>
      <c r="G34" s="2" t="s">
        <v>0</v>
      </c>
    </row>
    <row r="35" spans="1:7" x14ac:dyDescent="0.2">
      <c r="A35" s="2" t="s">
        <v>122</v>
      </c>
      <c r="B35" s="2" t="s">
        <v>48</v>
      </c>
      <c r="C35" s="2">
        <v>0.46216000000000002</v>
      </c>
      <c r="D35" s="2">
        <f t="shared" si="8"/>
        <v>0.41594400000000004</v>
      </c>
      <c r="E35" s="2">
        <f t="shared" si="9"/>
        <v>0.50837600000000005</v>
      </c>
      <c r="F35" s="3" t="s">
        <v>1</v>
      </c>
      <c r="G35" s="2" t="s">
        <v>0</v>
      </c>
    </row>
    <row r="36" spans="1:7" x14ac:dyDescent="0.2">
      <c r="A36" s="2" t="s">
        <v>90</v>
      </c>
      <c r="B36" s="2" t="s">
        <v>48</v>
      </c>
      <c r="C36" s="2">
        <v>0.29720999999999997</v>
      </c>
      <c r="D36" s="2">
        <f t="shared" si="8"/>
        <v>0.26748899999999998</v>
      </c>
      <c r="E36" s="2">
        <f t="shared" si="9"/>
        <v>0.32693099999999997</v>
      </c>
      <c r="F36" s="3" t="s">
        <v>1</v>
      </c>
      <c r="G36" s="2" t="s">
        <v>0</v>
      </c>
    </row>
    <row r="37" spans="1:7" x14ac:dyDescent="0.2">
      <c r="A37" s="2" t="s">
        <v>123</v>
      </c>
      <c r="B37" s="2" t="s">
        <v>48</v>
      </c>
      <c r="C37" s="2">
        <v>0.30595</v>
      </c>
      <c r="D37" s="2">
        <f t="shared" si="8"/>
        <v>0.27535500000000002</v>
      </c>
      <c r="E37" s="2">
        <f t="shared" si="9"/>
        <v>0.33654500000000004</v>
      </c>
      <c r="F37" s="3" t="s">
        <v>1</v>
      </c>
      <c r="G37" s="2" t="s">
        <v>0</v>
      </c>
    </row>
    <row r="38" spans="1:7" x14ac:dyDescent="0.2">
      <c r="A38" s="2" t="s">
        <v>39</v>
      </c>
      <c r="B38" s="2" t="s">
        <v>48</v>
      </c>
      <c r="C38" s="2">
        <v>2.1274000000000002</v>
      </c>
      <c r="D38" s="2">
        <f t="shared" si="8"/>
        <v>1.9146600000000003</v>
      </c>
      <c r="E38" s="2">
        <f t="shared" si="9"/>
        <v>2.3401400000000003</v>
      </c>
      <c r="F38" s="3" t="s">
        <v>1</v>
      </c>
      <c r="G38" s="2" t="s">
        <v>0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18E97-33AC-4743-867D-87B08CF8DB3F}">
  <dimension ref="A1:G38"/>
  <sheetViews>
    <sheetView tabSelected="1" topLeftCell="A6" workbookViewId="0">
      <selection activeCell="L25" sqref="L25"/>
    </sheetView>
  </sheetViews>
  <sheetFormatPr baseColWidth="10" defaultRowHeight="16" x14ac:dyDescent="0.2"/>
  <cols>
    <col min="1" max="1" width="23.83203125" bestFit="1" customWidth="1"/>
    <col min="2" max="2" width="12.6640625" bestFit="1" customWidth="1"/>
    <col min="3" max="3" width="12.83203125" bestFit="1" customWidth="1"/>
    <col min="4" max="5" width="14" bestFit="1" customWidth="1"/>
    <col min="6" max="6" width="11.83203125" bestFit="1" customWidth="1"/>
    <col min="7" max="7" width="11.66406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65</v>
      </c>
      <c r="B2" s="2" t="s">
        <v>49</v>
      </c>
      <c r="C2" s="2">
        <f>1.26/74049000*157380</f>
        <v>2.677940282785723E-3</v>
      </c>
      <c r="D2" s="2">
        <f t="shared" ref="D2:D7" si="0">C2*0.9</f>
        <v>2.4101462545071508E-3</v>
      </c>
      <c r="E2" s="2">
        <f t="shared" ref="E2:E14" si="1">C2*1.1</f>
        <v>2.9457343110642956E-3</v>
      </c>
      <c r="F2" s="4" t="s">
        <v>1</v>
      </c>
      <c r="G2" s="5" t="s">
        <v>0</v>
      </c>
    </row>
    <row r="3" spans="1:7" x14ac:dyDescent="0.2">
      <c r="A3" s="2" t="s">
        <v>71</v>
      </c>
      <c r="B3" s="2" t="s">
        <v>49</v>
      </c>
      <c r="C3" s="2">
        <f>0.1933/2500</f>
        <v>7.7319999999999998E-5</v>
      </c>
      <c r="D3" s="2">
        <f t="shared" si="0"/>
        <v>6.9587999999999998E-5</v>
      </c>
      <c r="E3" s="2">
        <f t="shared" si="1"/>
        <v>8.5052000000000012E-5</v>
      </c>
      <c r="F3" s="4" t="s">
        <v>1</v>
      </c>
      <c r="G3" s="5" t="s">
        <v>0</v>
      </c>
    </row>
    <row r="4" spans="1:7" x14ac:dyDescent="0.2">
      <c r="A4" s="2" t="s">
        <v>27</v>
      </c>
      <c r="B4" s="2" t="s">
        <v>49</v>
      </c>
      <c r="C4" s="2">
        <f>47.312/300</f>
        <v>0.15770666666666666</v>
      </c>
      <c r="D4" s="2">
        <f t="shared" si="0"/>
        <v>0.14193600000000001</v>
      </c>
      <c r="E4" s="2">
        <f t="shared" si="1"/>
        <v>0.17347733333333334</v>
      </c>
      <c r="F4" s="4" t="s">
        <v>1</v>
      </c>
      <c r="G4" s="5" t="s">
        <v>0</v>
      </c>
    </row>
    <row r="5" spans="1:7" x14ac:dyDescent="0.2">
      <c r="A5" s="2" t="s">
        <v>28</v>
      </c>
      <c r="B5" s="2" t="s">
        <v>49</v>
      </c>
      <c r="C5" s="2">
        <v>1.6851000000000001E-2</v>
      </c>
      <c r="D5" s="2">
        <f t="shared" si="0"/>
        <v>1.5165900000000001E-2</v>
      </c>
      <c r="E5" s="2">
        <f t="shared" si="1"/>
        <v>1.8536100000000003E-2</v>
      </c>
      <c r="F5" s="4" t="s">
        <v>1</v>
      </c>
      <c r="G5" s="5" t="s">
        <v>0</v>
      </c>
    </row>
    <row r="6" spans="1:7" x14ac:dyDescent="0.2">
      <c r="A6" s="2" t="s">
        <v>29</v>
      </c>
      <c r="B6" s="2" t="s">
        <v>49</v>
      </c>
      <c r="C6" s="2">
        <v>3.1905000000000002E-3</v>
      </c>
      <c r="D6" s="2">
        <f t="shared" si="0"/>
        <v>2.8714500000000002E-3</v>
      </c>
      <c r="E6" s="2">
        <f t="shared" si="1"/>
        <v>3.5095500000000006E-3</v>
      </c>
      <c r="F6" s="3" t="s">
        <v>1</v>
      </c>
      <c r="G6" s="2" t="s">
        <v>0</v>
      </c>
    </row>
    <row r="7" spans="1:7" x14ac:dyDescent="0.2">
      <c r="A7" s="2" t="s">
        <v>70</v>
      </c>
      <c r="B7" s="2" t="s">
        <v>49</v>
      </c>
      <c r="C7" s="2">
        <v>3.2198999999999999E-3</v>
      </c>
      <c r="D7" s="2">
        <f t="shared" si="0"/>
        <v>2.8979100000000001E-3</v>
      </c>
      <c r="E7" s="2">
        <f t="shared" ref="E7" si="2">C7*1.1</f>
        <v>3.5418900000000002E-3</v>
      </c>
      <c r="F7" s="3" t="s">
        <v>1</v>
      </c>
      <c r="G7" s="2" t="s">
        <v>0</v>
      </c>
    </row>
    <row r="8" spans="1:7" x14ac:dyDescent="0.2">
      <c r="A8" s="2" t="s">
        <v>30</v>
      </c>
      <c r="B8" s="2" t="s">
        <v>49</v>
      </c>
      <c r="C8" s="2">
        <v>2.8777999999999998E-3</v>
      </c>
      <c r="D8" s="2">
        <f t="shared" ref="D8:D14" si="3">C8*0.9</f>
        <v>2.5900199999999997E-3</v>
      </c>
      <c r="E8" s="2">
        <f t="shared" si="1"/>
        <v>3.1655799999999999E-3</v>
      </c>
      <c r="F8" s="3" t="s">
        <v>1</v>
      </c>
      <c r="G8" s="2" t="s">
        <v>0</v>
      </c>
    </row>
    <row r="9" spans="1:7" x14ac:dyDescent="0.2">
      <c r="A9" s="2" t="s">
        <v>31</v>
      </c>
      <c r="B9" s="2" t="s">
        <v>49</v>
      </c>
      <c r="C9" s="11">
        <f>0.001868/20+19/20*C24</f>
        <v>9.405486350000001E-5</v>
      </c>
      <c r="D9" s="2">
        <f t="shared" si="3"/>
        <v>8.4649377150000014E-5</v>
      </c>
      <c r="E9" s="2">
        <f t="shared" si="1"/>
        <v>1.0346034985000002E-4</v>
      </c>
      <c r="F9" s="3" t="s">
        <v>1</v>
      </c>
      <c r="G9" s="2" t="s">
        <v>0</v>
      </c>
    </row>
    <row r="10" spans="1:7" x14ac:dyDescent="0.2">
      <c r="A10" s="2" t="s">
        <v>32</v>
      </c>
      <c r="B10" s="2" t="s">
        <v>49</v>
      </c>
      <c r="C10" s="2">
        <v>4.385E-3</v>
      </c>
      <c r="D10" s="2">
        <f t="shared" si="3"/>
        <v>3.9465000000000004E-3</v>
      </c>
      <c r="E10" s="2">
        <f t="shared" si="1"/>
        <v>4.8235000000000005E-3</v>
      </c>
      <c r="F10" s="3" t="s">
        <v>1</v>
      </c>
      <c r="G10" s="2" t="s">
        <v>0</v>
      </c>
    </row>
    <row r="11" spans="1:7" x14ac:dyDescent="0.2">
      <c r="A11" s="2" t="s">
        <v>33</v>
      </c>
      <c r="B11" s="2" t="s">
        <v>49</v>
      </c>
      <c r="C11" s="2">
        <v>3.6698E-3</v>
      </c>
      <c r="D11" s="2">
        <f t="shared" si="3"/>
        <v>3.3028200000000001E-3</v>
      </c>
      <c r="E11" s="2">
        <f t="shared" si="1"/>
        <v>4.0367800000000002E-3</v>
      </c>
      <c r="F11" s="3" t="s">
        <v>1</v>
      </c>
      <c r="G11" s="2" t="s">
        <v>0</v>
      </c>
    </row>
    <row r="12" spans="1:7" x14ac:dyDescent="0.2">
      <c r="A12" s="2" t="s">
        <v>34</v>
      </c>
      <c r="B12" s="2" t="s">
        <v>49</v>
      </c>
      <c r="C12" s="2">
        <v>8.7549999999999998E-4</v>
      </c>
      <c r="D12" s="2">
        <f t="shared" si="3"/>
        <v>7.8795000000000004E-4</v>
      </c>
      <c r="E12" s="2">
        <f t="shared" si="1"/>
        <v>9.6305000000000002E-4</v>
      </c>
      <c r="F12" s="3" t="s">
        <v>1</v>
      </c>
      <c r="G12" s="2" t="s">
        <v>0</v>
      </c>
    </row>
    <row r="13" spans="1:7" x14ac:dyDescent="0.2">
      <c r="A13" s="2" t="s">
        <v>35</v>
      </c>
      <c r="B13" s="2" t="s">
        <v>49</v>
      </c>
      <c r="C13" s="2">
        <v>2.4543E-3</v>
      </c>
      <c r="D13" s="2">
        <f t="shared" si="3"/>
        <v>2.2088699999999999E-3</v>
      </c>
      <c r="E13" s="2">
        <f t="shared" si="1"/>
        <v>2.69973E-3</v>
      </c>
      <c r="F13" s="3" t="s">
        <v>1</v>
      </c>
      <c r="G13" s="2" t="s">
        <v>0</v>
      </c>
    </row>
    <row r="14" spans="1:7" x14ac:dyDescent="0.2">
      <c r="A14" s="2" t="s">
        <v>36</v>
      </c>
      <c r="B14" s="2" t="s">
        <v>49</v>
      </c>
      <c r="C14" s="2">
        <v>1.8387E-3</v>
      </c>
      <c r="D14" s="2">
        <f t="shared" si="3"/>
        <v>1.6548299999999999E-3</v>
      </c>
      <c r="E14" s="2">
        <f t="shared" si="1"/>
        <v>2.02257E-3</v>
      </c>
      <c r="F14" s="4" t="s">
        <v>1</v>
      </c>
      <c r="G14" s="5" t="s">
        <v>0</v>
      </c>
    </row>
    <row r="15" spans="1:7" x14ac:dyDescent="0.2">
      <c r="A15" s="2" t="s">
        <v>83</v>
      </c>
      <c r="B15" s="2" t="s">
        <v>49</v>
      </c>
      <c r="C15" s="2">
        <f>0.0013177*115.03/245.41</f>
        <v>6.1763999429526105E-4</v>
      </c>
      <c r="D15" s="2">
        <f t="shared" ref="D15:D16" si="4">C15*0.9</f>
        <v>5.5587599486573499E-4</v>
      </c>
      <c r="E15" s="2">
        <f t="shared" ref="E15:E16" si="5">C15*1.1</f>
        <v>6.7940399372478722E-4</v>
      </c>
      <c r="F15" s="3" t="s">
        <v>1</v>
      </c>
      <c r="G15" s="2" t="s">
        <v>0</v>
      </c>
    </row>
    <row r="16" spans="1:7" x14ac:dyDescent="0.2">
      <c r="A16" s="2" t="s">
        <v>84</v>
      </c>
      <c r="B16" s="2" t="s">
        <v>49</v>
      </c>
      <c r="C16" s="2">
        <v>3.1315000000000002E-3</v>
      </c>
      <c r="D16" s="2">
        <f t="shared" si="4"/>
        <v>2.8183500000000003E-3</v>
      </c>
      <c r="E16" s="2">
        <f t="shared" si="5"/>
        <v>3.4446500000000005E-3</v>
      </c>
      <c r="F16" s="3" t="s">
        <v>1</v>
      </c>
      <c r="G16" s="2" t="s">
        <v>0</v>
      </c>
    </row>
    <row r="17" spans="1:7" x14ac:dyDescent="0.2">
      <c r="A17" s="2" t="s">
        <v>90</v>
      </c>
      <c r="B17" s="2" t="s">
        <v>49</v>
      </c>
      <c r="C17" s="2">
        <v>4.8979000000000004E-4</v>
      </c>
      <c r="D17" s="2">
        <f>C17*0.9</f>
        <v>4.4081100000000005E-4</v>
      </c>
      <c r="E17" s="2">
        <f>C17*1.1</f>
        <v>5.3876900000000014E-4</v>
      </c>
      <c r="F17" s="3" t="s">
        <v>1</v>
      </c>
      <c r="G17" s="2" t="s">
        <v>0</v>
      </c>
    </row>
    <row r="18" spans="1:7" x14ac:dyDescent="0.2">
      <c r="A18" s="2" t="s">
        <v>39</v>
      </c>
      <c r="B18" s="2" t="s">
        <v>49</v>
      </c>
      <c r="C18" s="2">
        <v>1.3397999999999999E-3</v>
      </c>
      <c r="D18" s="2">
        <f>C18*0.9</f>
        <v>1.20582E-3</v>
      </c>
      <c r="E18" s="2">
        <f>C18*1.1</f>
        <v>1.4737800000000001E-3</v>
      </c>
      <c r="F18" s="3" t="s">
        <v>1</v>
      </c>
      <c r="G18" s="2" t="s">
        <v>0</v>
      </c>
    </row>
    <row r="19" spans="1:7" x14ac:dyDescent="0.2">
      <c r="A19" s="2" t="s">
        <v>107</v>
      </c>
      <c r="B19" s="2" t="s">
        <v>49</v>
      </c>
      <c r="C19" s="2">
        <v>1.1096000000000001E-3</v>
      </c>
      <c r="D19" s="2">
        <f>C19*0.9</f>
        <v>9.9864000000000007E-4</v>
      </c>
      <c r="E19" s="2">
        <f>C19*1.1</f>
        <v>1.2205600000000001E-3</v>
      </c>
      <c r="F19" s="3" t="s">
        <v>1</v>
      </c>
      <c r="G19" s="2" t="s">
        <v>0</v>
      </c>
    </row>
    <row r="20" spans="1:7" x14ac:dyDescent="0.2">
      <c r="A20" s="2" t="s">
        <v>37</v>
      </c>
      <c r="B20" s="2" t="s">
        <v>49</v>
      </c>
      <c r="C20" s="2">
        <f>0.147*C37+0.1222*C35+87.3/3600*C38+2.3704*C37+0.312*C36+(1000-1000*7.8/100/101.07*207.43)/1000*C31+0.9454*C24+1000*7.8/100/1000*C32/35335*2665+1000*7.8/100/101.07*(207.43-101.07)/1000*C33+0.487*1000*7.8/100/101.07*207.43/1000*C38+2.59/1000*C34</f>
        <v>3.5171845258375174</v>
      </c>
      <c r="D20" s="2">
        <f>C20*0.9</f>
        <v>3.1654660732537656</v>
      </c>
      <c r="E20" s="2">
        <f>C20*1.1</f>
        <v>3.8689029784212696</v>
      </c>
      <c r="F20" s="3" t="s">
        <v>1</v>
      </c>
      <c r="G20" s="2" t="s">
        <v>0</v>
      </c>
    </row>
    <row r="21" spans="1:7" x14ac:dyDescent="0.2">
      <c r="A21" s="2" t="s">
        <v>38</v>
      </c>
      <c r="B21" s="2" t="s">
        <v>49</v>
      </c>
      <c r="C21" s="2">
        <f>0.4168*C36+3.358*C35+0.206*C37+1.6569*C37+0.4856*C36+0.0149*C38+1.2669*C36+0.7722*C23+0.6177*C24+0.0349*C25+0.136*C26+0.0834*C27+0.0973*C28+0.0088*C29+1.301*C30</f>
        <v>2.0809293373641003E-2</v>
      </c>
      <c r="D21" s="2">
        <f>C21*0.9</f>
        <v>1.8728364036276902E-2</v>
      </c>
      <c r="E21" s="2">
        <f>C21*1.1</f>
        <v>2.2890222711005104E-2</v>
      </c>
      <c r="F21" s="3" t="s">
        <v>1</v>
      </c>
      <c r="G21" s="2" t="s">
        <v>0</v>
      </c>
    </row>
    <row r="23" spans="1:7" x14ac:dyDescent="0.2">
      <c r="A23" s="2" t="s">
        <v>100</v>
      </c>
      <c r="B23" s="2" t="s">
        <v>49</v>
      </c>
      <c r="C23" s="2">
        <v>2.7805E-3</v>
      </c>
      <c r="D23" s="2">
        <f>C23*0.9</f>
        <v>2.5024500000000002E-3</v>
      </c>
      <c r="E23" s="2">
        <f>C23*1.1</f>
        <v>3.0585500000000002E-3</v>
      </c>
      <c r="F23" s="3" t="s">
        <v>1</v>
      </c>
      <c r="G23" s="2" t="s">
        <v>0</v>
      </c>
    </row>
    <row r="24" spans="1:7" x14ac:dyDescent="0.2">
      <c r="A24" s="2" t="s">
        <v>101</v>
      </c>
      <c r="B24" s="2" t="s">
        <v>49</v>
      </c>
      <c r="C24" s="11">
        <v>6.8932999999999999E-7</v>
      </c>
      <c r="D24" s="2">
        <f>C24*0.9</f>
        <v>6.2039700000000005E-7</v>
      </c>
      <c r="E24" s="2">
        <f>C24*1.1</f>
        <v>7.5826300000000004E-7</v>
      </c>
      <c r="F24" s="3" t="s">
        <v>1</v>
      </c>
      <c r="G24" s="2" t="s">
        <v>0</v>
      </c>
    </row>
    <row r="25" spans="1:7" x14ac:dyDescent="0.2">
      <c r="A25" s="2" t="s">
        <v>102</v>
      </c>
      <c r="B25" s="2" t="s">
        <v>49</v>
      </c>
      <c r="C25" s="2">
        <v>4.4926000000000002E-3</v>
      </c>
      <c r="D25" s="2">
        <f>C25*0.9</f>
        <v>4.0433400000000003E-3</v>
      </c>
      <c r="E25" s="2">
        <f>C25*1.1</f>
        <v>4.941860000000001E-3</v>
      </c>
      <c r="F25" s="3" t="s">
        <v>1</v>
      </c>
      <c r="G25" s="2" t="s">
        <v>0</v>
      </c>
    </row>
    <row r="26" spans="1:7" x14ac:dyDescent="0.2">
      <c r="A26" s="2" t="s">
        <v>103</v>
      </c>
      <c r="B26" s="2" t="s">
        <v>49</v>
      </c>
      <c r="C26" s="2">
        <v>5.9407000000000001E-2</v>
      </c>
      <c r="D26" s="2">
        <f>C26*0.9</f>
        <v>5.3466300000000001E-2</v>
      </c>
      <c r="E26" s="2">
        <f>C26*1.1</f>
        <v>6.5347700000000009E-2</v>
      </c>
      <c r="F26" s="3" t="s">
        <v>1</v>
      </c>
      <c r="G26" s="2" t="s">
        <v>0</v>
      </c>
    </row>
    <row r="27" spans="1:7" x14ac:dyDescent="0.2">
      <c r="A27" s="2" t="s">
        <v>104</v>
      </c>
      <c r="B27" s="2" t="s">
        <v>49</v>
      </c>
      <c r="C27" s="2">
        <v>9.9498000000000003E-2</v>
      </c>
      <c r="D27" s="2">
        <f>C27*0.9</f>
        <v>8.9548200000000008E-2</v>
      </c>
      <c r="E27" s="2">
        <f>C27*1.1</f>
        <v>0.10944780000000001</v>
      </c>
      <c r="F27" s="3" t="s">
        <v>1</v>
      </c>
      <c r="G27" s="2" t="s">
        <v>0</v>
      </c>
    </row>
    <row r="28" spans="1:7" x14ac:dyDescent="0.2">
      <c r="A28" s="2" t="s">
        <v>105</v>
      </c>
      <c r="B28" s="2" t="s">
        <v>49</v>
      </c>
      <c r="C28" s="2">
        <v>2.2545E-3</v>
      </c>
      <c r="D28" s="2">
        <f>C28*0.9</f>
        <v>2.0290500000000001E-3</v>
      </c>
      <c r="E28" s="2">
        <f>C28*1.1</f>
        <v>2.4799500000000003E-3</v>
      </c>
      <c r="F28" s="3" t="s">
        <v>1</v>
      </c>
      <c r="G28" s="2" t="s">
        <v>0</v>
      </c>
    </row>
    <row r="29" spans="1:7" x14ac:dyDescent="0.2">
      <c r="A29" s="2" t="s">
        <v>106</v>
      </c>
      <c r="B29" s="2" t="s">
        <v>49</v>
      </c>
      <c r="C29" s="2">
        <v>3.6698E-3</v>
      </c>
      <c r="D29" s="2">
        <f>C29*0.9</f>
        <v>3.3028200000000001E-3</v>
      </c>
      <c r="E29" s="2">
        <f>C29*1.1</f>
        <v>4.0367800000000002E-3</v>
      </c>
      <c r="F29" s="3" t="s">
        <v>1</v>
      </c>
      <c r="G29" s="2" t="s">
        <v>0</v>
      </c>
    </row>
    <row r="30" spans="1:7" x14ac:dyDescent="0.2">
      <c r="A30" s="2" t="s">
        <v>107</v>
      </c>
      <c r="B30" s="2" t="s">
        <v>49</v>
      </c>
      <c r="C30" s="2">
        <v>1.1096000000000001E-3</v>
      </c>
      <c r="D30" s="2">
        <f>C30*0.9</f>
        <v>9.9864000000000007E-4</v>
      </c>
      <c r="E30" s="2">
        <f>C30*1.1</f>
        <v>1.2205600000000001E-3</v>
      </c>
      <c r="F30" s="3" t="s">
        <v>1</v>
      </c>
      <c r="G30" s="2" t="s">
        <v>0</v>
      </c>
    </row>
    <row r="31" spans="1:7" x14ac:dyDescent="0.2">
      <c r="A31" s="2" t="s">
        <v>108</v>
      </c>
      <c r="B31" s="2" t="s">
        <v>49</v>
      </c>
      <c r="C31" s="2">
        <v>4.8919000000000002E-3</v>
      </c>
      <c r="D31" s="2">
        <f>C31*0.9</f>
        <v>4.4027100000000007E-3</v>
      </c>
      <c r="E31" s="2">
        <f>C31*1.1</f>
        <v>5.3810900000000007E-3</v>
      </c>
      <c r="F31" s="3" t="s">
        <v>1</v>
      </c>
      <c r="G31" s="2" t="s">
        <v>0</v>
      </c>
    </row>
    <row r="32" spans="1:7" x14ac:dyDescent="0.2">
      <c r="A32" s="2" t="s">
        <v>129</v>
      </c>
      <c r="B32" s="2" t="s">
        <v>49</v>
      </c>
      <c r="C32" s="2">
        <v>597.08000000000004</v>
      </c>
      <c r="D32" s="2">
        <f>C32*0.9</f>
        <v>537.37200000000007</v>
      </c>
      <c r="E32" s="2">
        <f>C32*1.1</f>
        <v>656.78800000000012</v>
      </c>
      <c r="F32" s="3" t="s">
        <v>1</v>
      </c>
      <c r="G32" s="2" t="s">
        <v>0</v>
      </c>
    </row>
    <row r="33" spans="1:7" x14ac:dyDescent="0.2">
      <c r="A33" s="2" t="s">
        <v>109</v>
      </c>
      <c r="B33" s="2" t="s">
        <v>49</v>
      </c>
      <c r="C33" s="2">
        <v>1.9113999999999999E-3</v>
      </c>
      <c r="D33" s="2">
        <f>C33*0.9</f>
        <v>1.7202599999999999E-3</v>
      </c>
      <c r="E33" s="2">
        <f>C33*1.1</f>
        <v>2.10254E-3</v>
      </c>
      <c r="F33" s="3" t="s">
        <v>1</v>
      </c>
      <c r="G33" s="2" t="s">
        <v>0</v>
      </c>
    </row>
    <row r="34" spans="1:7" x14ac:dyDescent="0.2">
      <c r="A34" s="2" t="s">
        <v>110</v>
      </c>
      <c r="B34" s="2" t="s">
        <v>49</v>
      </c>
      <c r="C34" s="2">
        <v>8.4699000000000005E-4</v>
      </c>
      <c r="D34" s="2">
        <f>C34*0.9</f>
        <v>7.6229100000000001E-4</v>
      </c>
      <c r="E34" s="2">
        <f>C34*1.1</f>
        <v>9.3168900000000008E-4</v>
      </c>
      <c r="F34" s="3" t="s">
        <v>1</v>
      </c>
      <c r="G34" s="2" t="s">
        <v>0</v>
      </c>
    </row>
    <row r="35" spans="1:7" x14ac:dyDescent="0.2">
      <c r="A35" s="2" t="s">
        <v>122</v>
      </c>
      <c r="B35" s="2" t="s">
        <v>49</v>
      </c>
      <c r="C35" s="11">
        <v>5.0587999999999997E-5</v>
      </c>
      <c r="D35" s="2">
        <f>C35*0.9</f>
        <v>4.5529199999999998E-5</v>
      </c>
      <c r="E35" s="2">
        <f>C35*1.1</f>
        <v>5.5646800000000004E-5</v>
      </c>
      <c r="F35" s="3" t="s">
        <v>1</v>
      </c>
      <c r="G35" s="2" t="s">
        <v>0</v>
      </c>
    </row>
    <row r="36" spans="1:7" x14ac:dyDescent="0.2">
      <c r="A36" s="2" t="s">
        <v>90</v>
      </c>
      <c r="B36" s="2" t="s">
        <v>49</v>
      </c>
      <c r="C36" s="11">
        <v>2.9870999999999999E-5</v>
      </c>
      <c r="D36" s="2">
        <f>C36*0.9</f>
        <v>2.6883899999999999E-5</v>
      </c>
      <c r="E36" s="2">
        <f>C36*1.1</f>
        <v>3.2858100000000003E-5</v>
      </c>
      <c r="F36" s="3" t="s">
        <v>1</v>
      </c>
      <c r="G36" s="2" t="s">
        <v>0</v>
      </c>
    </row>
    <row r="37" spans="1:7" x14ac:dyDescent="0.2">
      <c r="A37" s="2" t="s">
        <v>123</v>
      </c>
      <c r="B37" s="2" t="s">
        <v>49</v>
      </c>
      <c r="C37" s="11">
        <v>9.5338000000000001E-5</v>
      </c>
      <c r="D37" s="2">
        <f>C37*0.9</f>
        <v>8.5804200000000008E-5</v>
      </c>
      <c r="E37" s="2">
        <f>C37*1.1</f>
        <v>1.0487180000000001E-4</v>
      </c>
      <c r="F37" s="3" t="s">
        <v>1</v>
      </c>
      <c r="G37" s="2" t="s">
        <v>0</v>
      </c>
    </row>
    <row r="38" spans="1:7" x14ac:dyDescent="0.2">
      <c r="A38" s="2" t="s">
        <v>39</v>
      </c>
      <c r="B38" s="2" t="s">
        <v>49</v>
      </c>
      <c r="C38" s="2">
        <v>1.3397999999999999E-3</v>
      </c>
      <c r="D38" s="2">
        <f>C38*0.9</f>
        <v>1.20582E-3</v>
      </c>
      <c r="E38" s="2">
        <f>C38*1.1</f>
        <v>1.4737800000000001E-3</v>
      </c>
      <c r="F38" s="3" t="s">
        <v>1</v>
      </c>
      <c r="G38" s="2" t="s">
        <v>0</v>
      </c>
    </row>
  </sheetData>
  <phoneticPr fontId="4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8468F-74F2-F147-9CFC-25892C4AB2D9}">
  <dimension ref="A1:J27"/>
  <sheetViews>
    <sheetView workbookViewId="0">
      <selection activeCell="C4" sqref="C4"/>
    </sheetView>
  </sheetViews>
  <sheetFormatPr baseColWidth="10" defaultColWidth="10.6640625" defaultRowHeight="16" x14ac:dyDescent="0.2"/>
  <cols>
    <col min="1" max="1" width="26.6640625" bestFit="1" customWidth="1"/>
    <col min="2" max="2" width="11" bestFit="1" customWidth="1"/>
    <col min="6" max="6" width="11.83203125" bestFit="1" customWidth="1"/>
    <col min="7" max="7" width="48.33203125" bestFit="1" customWidth="1"/>
  </cols>
  <sheetData>
    <row r="1" spans="1:10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10" x14ac:dyDescent="0.2">
      <c r="A2" s="2" t="s">
        <v>50</v>
      </c>
      <c r="B2" s="2" t="s">
        <v>11</v>
      </c>
      <c r="C2" s="6">
        <v>0.53</v>
      </c>
      <c r="D2" s="6">
        <v>0.51</v>
      </c>
      <c r="E2" s="6">
        <v>0.55000000000000004</v>
      </c>
      <c r="F2" s="7" t="s">
        <v>1</v>
      </c>
      <c r="G2" s="2" t="s">
        <v>0</v>
      </c>
    </row>
    <row r="3" spans="1:10" x14ac:dyDescent="0.2">
      <c r="A3" s="2" t="s">
        <v>51</v>
      </c>
      <c r="B3" s="2" t="s">
        <v>11</v>
      </c>
      <c r="C3" s="8">
        <v>0.28000000000000003</v>
      </c>
      <c r="D3" s="8">
        <v>0.25</v>
      </c>
      <c r="E3" s="8">
        <v>0.31</v>
      </c>
      <c r="F3" s="9" t="s">
        <v>1</v>
      </c>
      <c r="G3" s="5" t="s">
        <v>0</v>
      </c>
    </row>
    <row r="4" spans="1:10" x14ac:dyDescent="0.2">
      <c r="A4" s="2" t="s">
        <v>52</v>
      </c>
      <c r="B4" s="2" t="s">
        <v>11</v>
      </c>
      <c r="C4" s="8">
        <v>1.08</v>
      </c>
      <c r="D4" s="8">
        <v>0.97</v>
      </c>
      <c r="E4" s="8">
        <v>1.19</v>
      </c>
      <c r="F4" s="9" t="s">
        <v>1</v>
      </c>
      <c r="G4" s="5" t="s">
        <v>0</v>
      </c>
    </row>
    <row r="5" spans="1:10" x14ac:dyDescent="0.2">
      <c r="A5" s="2" t="s">
        <v>53</v>
      </c>
      <c r="B5" s="2" t="s">
        <v>11</v>
      </c>
      <c r="C5" s="7">
        <v>300</v>
      </c>
      <c r="D5" s="7">
        <v>218</v>
      </c>
      <c r="E5" s="7">
        <v>385</v>
      </c>
      <c r="F5" s="7" t="s">
        <v>1</v>
      </c>
      <c r="G5" s="2" t="s">
        <v>0</v>
      </c>
    </row>
    <row r="6" spans="1:10" x14ac:dyDescent="0.2">
      <c r="A6" s="2" t="s">
        <v>54</v>
      </c>
      <c r="B6" s="2" t="s">
        <v>11</v>
      </c>
      <c r="C6" s="6">
        <v>1.4999999999999999E-2</v>
      </c>
      <c r="D6" s="6">
        <v>1.2E-2</v>
      </c>
      <c r="E6" s="6">
        <v>1.7999999999999999E-2</v>
      </c>
      <c r="F6" s="7" t="s">
        <v>1</v>
      </c>
      <c r="G6" s="2" t="s">
        <v>0</v>
      </c>
    </row>
    <row r="7" spans="1:10" x14ac:dyDescent="0.2">
      <c r="A7" s="2" t="s">
        <v>55</v>
      </c>
      <c r="B7" s="2" t="s">
        <v>11</v>
      </c>
      <c r="C7" s="6">
        <v>1.97</v>
      </c>
      <c r="D7" s="6">
        <v>1.93</v>
      </c>
      <c r="E7" s="6">
        <v>2.0099999999999998</v>
      </c>
      <c r="F7" s="7" t="s">
        <v>1</v>
      </c>
      <c r="G7" s="2" t="s">
        <v>0</v>
      </c>
    </row>
    <row r="8" spans="1:10" x14ac:dyDescent="0.2">
      <c r="A8" s="2" t="s">
        <v>56</v>
      </c>
      <c r="B8" s="2" t="s">
        <v>11</v>
      </c>
      <c r="C8" s="6">
        <v>1.2E-2</v>
      </c>
      <c r="D8" s="6">
        <v>1.0999999999999999E-2</v>
      </c>
      <c r="E8" s="6">
        <v>1.2999999999999999E-2</v>
      </c>
      <c r="F8" s="7" t="s">
        <v>1</v>
      </c>
      <c r="G8" s="2" t="s">
        <v>0</v>
      </c>
    </row>
    <row r="9" spans="1:10" x14ac:dyDescent="0.2">
      <c r="A9" s="2" t="s">
        <v>57</v>
      </c>
      <c r="B9" s="2" t="s">
        <v>11</v>
      </c>
      <c r="C9" s="6">
        <v>4.33</v>
      </c>
      <c r="D9" s="6">
        <v>3.07</v>
      </c>
      <c r="E9" s="6">
        <v>5.5</v>
      </c>
      <c r="F9" s="7" t="s">
        <v>1</v>
      </c>
      <c r="G9" s="2" t="s">
        <v>0</v>
      </c>
    </row>
    <row r="10" spans="1:10" x14ac:dyDescent="0.2">
      <c r="A10" s="2" t="s">
        <v>58</v>
      </c>
      <c r="B10" s="2" t="s">
        <v>11</v>
      </c>
      <c r="C10" s="6">
        <f>4.33+0.65</f>
        <v>4.9800000000000004</v>
      </c>
      <c r="D10" s="6">
        <f>D9+0.58</f>
        <v>3.65</v>
      </c>
      <c r="E10" s="6">
        <f>E9+0.71</f>
        <v>6.21</v>
      </c>
      <c r="F10" s="7" t="s">
        <v>1</v>
      </c>
      <c r="G10" s="2" t="s">
        <v>0</v>
      </c>
    </row>
    <row r="11" spans="1:10" x14ac:dyDescent="0.2">
      <c r="A11" s="2" t="s">
        <v>59</v>
      </c>
      <c r="B11" s="2" t="s">
        <v>11</v>
      </c>
      <c r="C11" s="6">
        <v>2.5499999999999998</v>
      </c>
      <c r="D11" s="6">
        <v>2.13</v>
      </c>
      <c r="E11" s="6">
        <v>3.15</v>
      </c>
      <c r="F11" s="7" t="s">
        <v>1</v>
      </c>
      <c r="G11" s="2" t="s">
        <v>0</v>
      </c>
    </row>
    <row r="12" spans="1:10" x14ac:dyDescent="0.2">
      <c r="A12" s="2" t="s">
        <v>60</v>
      </c>
      <c r="B12" s="2" t="s">
        <v>11</v>
      </c>
      <c r="C12" s="6">
        <v>197</v>
      </c>
      <c r="D12" s="6">
        <v>186</v>
      </c>
      <c r="E12" s="6">
        <v>208</v>
      </c>
      <c r="F12" s="9" t="s">
        <v>1</v>
      </c>
      <c r="G12" s="5" t="s">
        <v>0</v>
      </c>
    </row>
    <row r="13" spans="1:10" x14ac:dyDescent="0.2">
      <c r="A13" s="2" t="s">
        <v>61</v>
      </c>
      <c r="B13" s="2" t="s">
        <v>11</v>
      </c>
      <c r="C13" s="7">
        <v>0.19400000000000001</v>
      </c>
      <c r="D13" s="7">
        <v>5.7599999999999998E-2</v>
      </c>
      <c r="E13" s="7">
        <v>0.52600000000000002</v>
      </c>
      <c r="F13" s="7" t="s">
        <v>1</v>
      </c>
      <c r="G13" s="2" t="s">
        <v>12</v>
      </c>
    </row>
    <row r="14" spans="1:10" x14ac:dyDescent="0.2">
      <c r="A14" s="2" t="s">
        <v>13</v>
      </c>
      <c r="B14" s="2" t="s">
        <v>11</v>
      </c>
      <c r="C14" s="7">
        <v>9.9703471209999996</v>
      </c>
      <c r="D14" s="7">
        <v>8.9733124089</v>
      </c>
      <c r="E14" s="7">
        <v>10.967381833100001</v>
      </c>
      <c r="F14" s="7" t="s">
        <v>1</v>
      </c>
      <c r="G14" s="2" t="s">
        <v>0</v>
      </c>
    </row>
    <row r="15" spans="1:10" x14ac:dyDescent="0.2">
      <c r="A15" s="2" t="s">
        <v>14</v>
      </c>
      <c r="B15" s="2" t="s">
        <v>11</v>
      </c>
      <c r="C15" s="7">
        <v>8.8474600330000008</v>
      </c>
      <c r="D15" s="7">
        <v>7.9627140297000008</v>
      </c>
      <c r="E15" s="7">
        <v>9.7322060363000009</v>
      </c>
      <c r="F15" s="7" t="s">
        <v>1</v>
      </c>
      <c r="G15" s="2" t="s">
        <v>0</v>
      </c>
      <c r="J15" s="10">
        <v>72800</v>
      </c>
    </row>
    <row r="16" spans="1:10" x14ac:dyDescent="0.2">
      <c r="A16" s="2" t="s">
        <v>15</v>
      </c>
      <c r="B16" s="2" t="s">
        <v>11</v>
      </c>
      <c r="C16" s="7">
        <v>13.937562</v>
      </c>
      <c r="D16" s="7">
        <v>12.543805799999999</v>
      </c>
      <c r="E16" s="7">
        <v>15.3313182</v>
      </c>
      <c r="F16" s="7" t="s">
        <v>1</v>
      </c>
      <c r="G16" s="2" t="s">
        <v>0</v>
      </c>
    </row>
    <row r="17" spans="1:10" x14ac:dyDescent="0.2">
      <c r="A17" s="2" t="s">
        <v>16</v>
      </c>
      <c r="B17" s="2" t="s">
        <v>11</v>
      </c>
      <c r="C17" s="7">
        <v>114014.66383541599</v>
      </c>
      <c r="D17" s="7">
        <v>102613.1974518744</v>
      </c>
      <c r="E17" s="7">
        <v>125416.13021895761</v>
      </c>
      <c r="F17" s="7" t="s">
        <v>1</v>
      </c>
      <c r="G17" s="2" t="s">
        <v>0</v>
      </c>
      <c r="J17" s="10">
        <f>J15*C9</f>
        <v>315224</v>
      </c>
    </row>
    <row r="18" spans="1:10" x14ac:dyDescent="0.2">
      <c r="A18" s="2" t="s">
        <v>17</v>
      </c>
      <c r="B18" s="2" t="s">
        <v>11</v>
      </c>
      <c r="C18" s="7">
        <v>8.5937041260028693</v>
      </c>
      <c r="D18" s="7">
        <v>7.7343337134025827</v>
      </c>
      <c r="E18" s="7">
        <v>9.4530745386031576</v>
      </c>
      <c r="F18" s="7" t="s">
        <v>1</v>
      </c>
      <c r="G18" s="2" t="s">
        <v>0</v>
      </c>
    </row>
    <row r="19" spans="1:10" x14ac:dyDescent="0.2">
      <c r="A19" s="2" t="s">
        <v>18</v>
      </c>
      <c r="B19" s="2" t="s">
        <v>11</v>
      </c>
      <c r="C19" s="7">
        <v>324.96867299992499</v>
      </c>
      <c r="D19" s="7">
        <v>292.47180569993247</v>
      </c>
      <c r="E19" s="7">
        <v>357.46554029991751</v>
      </c>
      <c r="F19" s="7" t="s">
        <v>1</v>
      </c>
      <c r="G19" s="2" t="s">
        <v>0</v>
      </c>
    </row>
    <row r="20" spans="1:10" x14ac:dyDescent="0.2">
      <c r="A20" s="2" t="s">
        <v>19</v>
      </c>
      <c r="B20" s="2" t="s">
        <v>11</v>
      </c>
      <c r="C20" s="7">
        <v>8.8474600327818393</v>
      </c>
      <c r="D20" s="7">
        <v>7.9627140295036556</v>
      </c>
      <c r="E20" s="7">
        <v>9.732206036060024</v>
      </c>
      <c r="F20" s="7" t="s">
        <v>1</v>
      </c>
      <c r="G20" s="2" t="s">
        <v>0</v>
      </c>
    </row>
    <row r="21" spans="1:10" x14ac:dyDescent="0.2">
      <c r="A21" s="2" t="s">
        <v>20</v>
      </c>
      <c r="B21" s="2" t="s">
        <v>11</v>
      </c>
      <c r="C21" s="7">
        <v>4.3790218750000003</v>
      </c>
      <c r="D21" s="7">
        <v>3.9411196875000005</v>
      </c>
      <c r="E21" s="7">
        <v>4.8169240625000009</v>
      </c>
      <c r="F21" s="7" t="s">
        <v>1</v>
      </c>
      <c r="G21" s="2" t="s">
        <v>0</v>
      </c>
    </row>
    <row r="22" spans="1:10" x14ac:dyDescent="0.2">
      <c r="A22" s="2" t="s">
        <v>21</v>
      </c>
      <c r="B22" s="2" t="s">
        <v>11</v>
      </c>
      <c r="C22" s="7">
        <v>2.0673798630000002</v>
      </c>
      <c r="D22" s="7">
        <v>1.8606418767000001</v>
      </c>
      <c r="E22" s="7">
        <v>2.2741178493000005</v>
      </c>
      <c r="F22" s="7" t="s">
        <v>1</v>
      </c>
      <c r="G22" s="2" t="s">
        <v>0</v>
      </c>
    </row>
    <row r="23" spans="1:10" x14ac:dyDescent="0.2">
      <c r="A23" s="2" t="s">
        <v>22</v>
      </c>
      <c r="B23" s="2" t="s">
        <v>11</v>
      </c>
      <c r="C23" s="7">
        <v>1.9299999302999999</v>
      </c>
      <c r="D23" s="7">
        <v>1.73699993727</v>
      </c>
      <c r="E23" s="7">
        <v>2.1229999233300001</v>
      </c>
      <c r="F23" s="7" t="s">
        <v>1</v>
      </c>
      <c r="G23" s="2" t="s">
        <v>0</v>
      </c>
    </row>
    <row r="24" spans="1:10" x14ac:dyDescent="0.2">
      <c r="A24" s="2" t="s">
        <v>24</v>
      </c>
      <c r="B24" s="2" t="s">
        <v>11</v>
      </c>
      <c r="C24" s="7">
        <v>2.797495751</v>
      </c>
      <c r="D24" s="7">
        <v>2.5177461759000002</v>
      </c>
      <c r="E24" s="7">
        <v>3.0772453261000003</v>
      </c>
      <c r="F24" s="7" t="s">
        <v>1</v>
      </c>
      <c r="G24" s="2" t="s">
        <v>0</v>
      </c>
    </row>
    <row r="25" spans="1:10" x14ac:dyDescent="0.2">
      <c r="A25" s="2" t="s">
        <v>23</v>
      </c>
      <c r="B25" s="2" t="s">
        <v>11</v>
      </c>
      <c r="C25" s="7">
        <v>1.6121519888995599</v>
      </c>
      <c r="D25" s="7">
        <f>C25*0.9</f>
        <v>1.450936790009604</v>
      </c>
      <c r="E25" s="7">
        <f>C25*1.1</f>
        <v>1.7733671877895161</v>
      </c>
      <c r="F25" s="7" t="s">
        <v>1</v>
      </c>
      <c r="G25" s="2" t="s">
        <v>0</v>
      </c>
    </row>
    <row r="26" spans="1:10" x14ac:dyDescent="0.2">
      <c r="A26" s="2" t="s">
        <v>25</v>
      </c>
      <c r="B26" s="2" t="s">
        <v>11</v>
      </c>
      <c r="C26" s="7">
        <v>1.844173711</v>
      </c>
      <c r="D26" s="7">
        <f>C26*0.9</f>
        <v>1.6597563399000002</v>
      </c>
      <c r="E26" s="7">
        <f>C26*1.1</f>
        <v>2.0285910821000002</v>
      </c>
      <c r="F26" s="7" t="s">
        <v>1</v>
      </c>
      <c r="G26" s="2" t="s">
        <v>0</v>
      </c>
    </row>
    <row r="27" spans="1:10" x14ac:dyDescent="0.2">
      <c r="A27" s="2" t="s">
        <v>26</v>
      </c>
      <c r="B27" s="2" t="s">
        <v>11</v>
      </c>
      <c r="C27" s="7">
        <v>13.937562</v>
      </c>
      <c r="D27" s="7">
        <f>C27*0.9</f>
        <v>12.543805799999999</v>
      </c>
      <c r="E27" s="7">
        <f>C27*1.1</f>
        <v>15.3313182</v>
      </c>
      <c r="F27" s="7" t="s">
        <v>1</v>
      </c>
      <c r="G27" s="2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44E52-5A7F-8142-BD9E-CE1C29D2C0B8}">
  <dimension ref="A1:G38"/>
  <sheetViews>
    <sheetView topLeftCell="A9" zoomScale="106" zoomScaleNormal="91" workbookViewId="0">
      <selection activeCell="J23" sqref="J23"/>
    </sheetView>
  </sheetViews>
  <sheetFormatPr baseColWidth="10" defaultRowHeight="16" x14ac:dyDescent="0.2"/>
  <cols>
    <col min="1" max="1" width="23.83203125" style="2" bestFit="1" customWidth="1"/>
    <col min="2" max="2" width="15" style="2" bestFit="1" customWidth="1"/>
    <col min="3" max="5" width="10.83203125" style="2"/>
    <col min="6" max="6" width="11.83203125" style="2" bestFit="1" customWidth="1"/>
    <col min="7" max="7" width="11.6640625" style="2" bestFit="1" customWidth="1"/>
    <col min="8" max="16384" width="10.83203125" style="2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65</v>
      </c>
      <c r="B2" s="2" t="s">
        <v>42</v>
      </c>
      <c r="C2" s="2">
        <f>1.26/74049000*26843000</f>
        <v>0.45675404124296071</v>
      </c>
      <c r="D2" s="2">
        <f t="shared" ref="D2:D13" si="0">C2*0.9</f>
        <v>0.41107863711866466</v>
      </c>
      <c r="E2" s="2">
        <f t="shared" ref="E2:E13" si="1">C2*1.1</f>
        <v>0.50242944536725687</v>
      </c>
      <c r="F2" s="4" t="s">
        <v>1</v>
      </c>
      <c r="G2" s="5" t="s">
        <v>0</v>
      </c>
    </row>
    <row r="3" spans="1:7" x14ac:dyDescent="0.2">
      <c r="A3" s="2" t="s">
        <v>71</v>
      </c>
      <c r="B3" s="2" t="s">
        <v>42</v>
      </c>
      <c r="C3" s="2">
        <f>48.766/2500</f>
        <v>1.95064E-2</v>
      </c>
      <c r="D3" s="2">
        <f t="shared" si="0"/>
        <v>1.755576E-2</v>
      </c>
      <c r="E3" s="2">
        <f t="shared" si="1"/>
        <v>2.145704E-2</v>
      </c>
      <c r="F3" s="4" t="s">
        <v>1</v>
      </c>
      <c r="G3" s="5" t="s">
        <v>0</v>
      </c>
    </row>
    <row r="4" spans="1:7" x14ac:dyDescent="0.2">
      <c r="A4" s="2" t="s">
        <v>27</v>
      </c>
      <c r="B4" s="2" t="s">
        <v>42</v>
      </c>
      <c r="C4" s="2">
        <f>8314.3/300</f>
        <v>27.714333333333332</v>
      </c>
      <c r="D4" s="2">
        <f t="shared" si="0"/>
        <v>24.942899999999998</v>
      </c>
      <c r="E4" s="2">
        <f t="shared" si="1"/>
        <v>30.485766666666667</v>
      </c>
      <c r="F4" s="4" t="s">
        <v>1</v>
      </c>
      <c r="G4" s="5" t="s">
        <v>0</v>
      </c>
    </row>
    <row r="5" spans="1:7" x14ac:dyDescent="0.2">
      <c r="A5" s="2" t="s">
        <v>28</v>
      </c>
      <c r="B5" s="2" t="s">
        <v>42</v>
      </c>
      <c r="C5" s="2">
        <v>1.2979000000000001</v>
      </c>
      <c r="D5" s="2">
        <f t="shared" si="0"/>
        <v>1.16811</v>
      </c>
      <c r="E5" s="2">
        <f t="shared" si="1"/>
        <v>1.4276900000000001</v>
      </c>
      <c r="F5" s="4" t="s">
        <v>1</v>
      </c>
      <c r="G5" s="5" t="s">
        <v>0</v>
      </c>
    </row>
    <row r="6" spans="1:7" x14ac:dyDescent="0.2">
      <c r="A6" s="2" t="s">
        <v>29</v>
      </c>
      <c r="B6" s="2" t="s">
        <v>42</v>
      </c>
      <c r="C6" s="2">
        <v>0.40516999999999997</v>
      </c>
      <c r="D6" s="2">
        <f t="shared" si="0"/>
        <v>0.364653</v>
      </c>
      <c r="E6" s="2">
        <f t="shared" si="1"/>
        <v>0.445687</v>
      </c>
      <c r="F6" s="3" t="s">
        <v>1</v>
      </c>
      <c r="G6" s="2" t="s">
        <v>0</v>
      </c>
    </row>
    <row r="7" spans="1:7" x14ac:dyDescent="0.2">
      <c r="A7" s="2" t="s">
        <v>70</v>
      </c>
      <c r="B7" s="2" t="s">
        <v>42</v>
      </c>
      <c r="C7" s="2">
        <v>0.41316999999999998</v>
      </c>
      <c r="D7" s="2">
        <f t="shared" ref="D7" si="2">C7*0.9</f>
        <v>0.37185299999999999</v>
      </c>
      <c r="E7" s="2">
        <f t="shared" ref="E7" si="3">C7*1.1</f>
        <v>0.45448700000000003</v>
      </c>
      <c r="F7" s="3" t="s">
        <v>1</v>
      </c>
      <c r="G7" s="2" t="s">
        <v>0</v>
      </c>
    </row>
    <row r="8" spans="1:7" x14ac:dyDescent="0.2">
      <c r="A8" s="2" t="s">
        <v>30</v>
      </c>
      <c r="B8" s="2" t="s">
        <v>42</v>
      </c>
      <c r="C8" s="2">
        <v>0.53532999999999997</v>
      </c>
      <c r="D8" s="2">
        <f t="shared" si="0"/>
        <v>0.48179699999999998</v>
      </c>
      <c r="E8" s="2">
        <f t="shared" si="1"/>
        <v>0.58886300000000003</v>
      </c>
      <c r="F8" s="3" t="s">
        <v>1</v>
      </c>
      <c r="G8" s="2" t="s">
        <v>0</v>
      </c>
    </row>
    <row r="9" spans="1:7" x14ac:dyDescent="0.2">
      <c r="A9" s="2" t="s">
        <v>31</v>
      </c>
      <c r="B9" s="2" t="s">
        <v>42</v>
      </c>
      <c r="C9" s="2">
        <f>0.39136/20+19/20*C24</f>
        <v>1.9678921999999998E-2</v>
      </c>
      <c r="D9" s="2">
        <f t="shared" si="0"/>
        <v>1.77110298E-2</v>
      </c>
      <c r="E9" s="2">
        <f t="shared" si="1"/>
        <v>2.16468142E-2</v>
      </c>
      <c r="F9" s="3" t="s">
        <v>1</v>
      </c>
      <c r="G9" s="2" t="s">
        <v>0</v>
      </c>
    </row>
    <row r="10" spans="1:7" x14ac:dyDescent="0.2">
      <c r="A10" s="2" t="s">
        <v>32</v>
      </c>
      <c r="B10" s="2" t="s">
        <v>42</v>
      </c>
      <c r="C10" s="2">
        <v>0.77015999999999996</v>
      </c>
      <c r="D10" s="2">
        <f t="shared" si="0"/>
        <v>0.69314399999999998</v>
      </c>
      <c r="E10" s="2">
        <f t="shared" si="1"/>
        <v>0.84717600000000004</v>
      </c>
      <c r="F10" s="3" t="s">
        <v>1</v>
      </c>
      <c r="G10" s="2" t="s">
        <v>0</v>
      </c>
    </row>
    <row r="11" spans="1:7" x14ac:dyDescent="0.2">
      <c r="A11" s="2" t="s">
        <v>33</v>
      </c>
      <c r="B11" s="2" t="s">
        <v>42</v>
      </c>
      <c r="C11" s="2">
        <v>0.81013999999999997</v>
      </c>
      <c r="D11" s="2">
        <f t="shared" si="0"/>
        <v>0.72912599999999994</v>
      </c>
      <c r="E11" s="2">
        <f t="shared" si="1"/>
        <v>0.891154</v>
      </c>
      <c r="F11" s="3" t="s">
        <v>1</v>
      </c>
      <c r="G11" s="2" t="s">
        <v>0</v>
      </c>
    </row>
    <row r="12" spans="1:7" x14ac:dyDescent="0.2">
      <c r="A12" s="2" t="s">
        <v>34</v>
      </c>
      <c r="B12" s="2" t="s">
        <v>42</v>
      </c>
      <c r="C12" s="2">
        <v>0.12584000000000001</v>
      </c>
      <c r="D12" s="2">
        <f t="shared" si="0"/>
        <v>0.11325600000000001</v>
      </c>
      <c r="E12" s="2">
        <f t="shared" si="1"/>
        <v>0.13842400000000002</v>
      </c>
      <c r="F12" s="3" t="s">
        <v>1</v>
      </c>
      <c r="G12" s="2" t="s">
        <v>0</v>
      </c>
    </row>
    <row r="13" spans="1:7" x14ac:dyDescent="0.2">
      <c r="A13" s="2" t="s">
        <v>35</v>
      </c>
      <c r="B13" s="2" t="s">
        <v>42</v>
      </c>
      <c r="C13" s="2">
        <v>0.33656000000000003</v>
      </c>
      <c r="D13" s="2">
        <f t="shared" si="0"/>
        <v>0.30290400000000001</v>
      </c>
      <c r="E13" s="2">
        <f t="shared" si="1"/>
        <v>0.37021600000000005</v>
      </c>
      <c r="F13" s="3" t="s">
        <v>1</v>
      </c>
      <c r="G13" s="2" t="s">
        <v>0</v>
      </c>
    </row>
    <row r="14" spans="1:7" x14ac:dyDescent="0.2">
      <c r="A14" s="2" t="s">
        <v>36</v>
      </c>
      <c r="B14" s="2" t="s">
        <v>42</v>
      </c>
      <c r="C14" s="2">
        <v>0.34682000000000002</v>
      </c>
      <c r="D14" s="2">
        <f>C14*0.9</f>
        <v>0.31213800000000003</v>
      </c>
      <c r="E14" s="2">
        <f>C14*1.1</f>
        <v>0.38150200000000006</v>
      </c>
      <c r="F14" s="4" t="s">
        <v>1</v>
      </c>
      <c r="G14" s="5" t="s">
        <v>0</v>
      </c>
    </row>
    <row r="15" spans="1:7" x14ac:dyDescent="0.2">
      <c r="A15" s="2" t="s">
        <v>83</v>
      </c>
      <c r="B15" s="2" t="s">
        <v>42</v>
      </c>
      <c r="C15" s="2">
        <f>0.26205*115.03/245.41</f>
        <v>0.12282959740841858</v>
      </c>
      <c r="D15" s="2">
        <f t="shared" ref="D15:D16" si="4">C15*0.9</f>
        <v>0.11054663766757672</v>
      </c>
      <c r="E15" s="2">
        <f t="shared" ref="E15:E16" si="5">C15*1.1</f>
        <v>0.13511255714926043</v>
      </c>
      <c r="F15" s="4" t="s">
        <v>1</v>
      </c>
      <c r="G15" s="5" t="s">
        <v>0</v>
      </c>
    </row>
    <row r="16" spans="1:7" x14ac:dyDescent="0.2">
      <c r="A16" s="2" t="s">
        <v>84</v>
      </c>
      <c r="B16" s="2" t="s">
        <v>42</v>
      </c>
      <c r="C16" s="2">
        <v>0.72916999999999998</v>
      </c>
      <c r="D16" s="2">
        <f t="shared" si="4"/>
        <v>0.65625299999999998</v>
      </c>
      <c r="E16" s="2">
        <f t="shared" si="5"/>
        <v>0.80208699999999999</v>
      </c>
      <c r="F16" s="4" t="s">
        <v>1</v>
      </c>
      <c r="G16" s="5" t="s">
        <v>0</v>
      </c>
    </row>
    <row r="17" spans="1:7" x14ac:dyDescent="0.2">
      <c r="A17" s="2" t="s">
        <v>90</v>
      </c>
      <c r="B17" s="2" t="s">
        <v>42</v>
      </c>
      <c r="C17" s="2">
        <v>0.1032</v>
      </c>
      <c r="D17" s="2">
        <f>C17*0.9</f>
        <v>9.2880000000000004E-2</v>
      </c>
      <c r="E17" s="2">
        <f>C17*1.1</f>
        <v>0.11352000000000001</v>
      </c>
      <c r="F17" s="3" t="s">
        <v>1</v>
      </c>
      <c r="G17" s="2" t="s">
        <v>0</v>
      </c>
    </row>
    <row r="18" spans="1:7" x14ac:dyDescent="0.2">
      <c r="A18" s="2" t="s">
        <v>39</v>
      </c>
      <c r="B18" s="2" t="s">
        <v>42</v>
      </c>
      <c r="C18" s="2">
        <v>0.158</v>
      </c>
      <c r="D18" s="2">
        <f>C18*0.9</f>
        <v>0.14219999999999999</v>
      </c>
      <c r="E18" s="2">
        <f>C18*1.1</f>
        <v>0.17380000000000001</v>
      </c>
      <c r="F18" s="3" t="s">
        <v>1</v>
      </c>
      <c r="G18" s="2" t="s">
        <v>0</v>
      </c>
    </row>
    <row r="19" spans="1:7" x14ac:dyDescent="0.2">
      <c r="A19" s="2" t="s">
        <v>107</v>
      </c>
      <c r="B19" s="2" t="s">
        <v>42</v>
      </c>
      <c r="C19" s="2">
        <v>0.25163999999999997</v>
      </c>
      <c r="D19" s="2">
        <f t="shared" ref="D19" si="6">C19*0.9</f>
        <v>0.22647599999999998</v>
      </c>
      <c r="E19" s="2">
        <f t="shared" ref="E19" si="7">C19*1.1</f>
        <v>0.27680399999999999</v>
      </c>
      <c r="F19" s="3" t="s">
        <v>1</v>
      </c>
      <c r="G19" s="2" t="s">
        <v>0</v>
      </c>
    </row>
    <row r="20" spans="1:7" x14ac:dyDescent="0.2">
      <c r="A20" s="2" t="s">
        <v>37</v>
      </c>
      <c r="B20" s="2" t="s">
        <v>42</v>
      </c>
      <c r="C20" s="2">
        <f>0.147*C37+0.1222*C35+87.3/3600*C38+2.3704*C37+0.312*C36+(1000-1000*7.8/100/101.07*207.43)/1000*C31+0.9454*C24+1000*7.8/100/1000*C32/35335*2665+1000*7.8/100/101.07*(207.43-101.07)/1000*C33+0.487*1000*7.8/100/101.07*207.43/1000*C38+2.59/1000*C34</f>
        <v>991.65441961282067</v>
      </c>
      <c r="D20" s="2">
        <f>C20*0.9</f>
        <v>892.48897765153868</v>
      </c>
      <c r="E20" s="2">
        <f>C20*1.1</f>
        <v>1090.8198615741028</v>
      </c>
      <c r="F20" s="3" t="s">
        <v>1</v>
      </c>
      <c r="G20" s="2" t="s">
        <v>0</v>
      </c>
    </row>
    <row r="21" spans="1:7" x14ac:dyDescent="0.2">
      <c r="A21" s="2" t="s">
        <v>38</v>
      </c>
      <c r="B21" s="2" t="s">
        <v>42</v>
      </c>
      <c r="C21" s="2">
        <f>0.4168*C36+3.358*C35+0.206*C37+1.6569*C37+0.4856*C36+0.0149*C38+1.2669*C36+0.7722*C23+0.6177*C24+0.0349*C25+0.136*C26+0.0834*C27+0.0973*C28+0.0088*C29+1.301*C30</f>
        <v>4.0564012825520006</v>
      </c>
      <c r="D21" s="2">
        <f>C21*0.9</f>
        <v>3.6507611542968008</v>
      </c>
      <c r="E21" s="2">
        <f>C21*1.1</f>
        <v>4.4620414108072008</v>
      </c>
      <c r="F21" s="3" t="s">
        <v>1</v>
      </c>
      <c r="G21" s="2" t="s">
        <v>0</v>
      </c>
    </row>
    <row r="23" spans="1:7" x14ac:dyDescent="0.2">
      <c r="A23" s="2" t="s">
        <v>100</v>
      </c>
      <c r="B23" s="2" t="s">
        <v>42</v>
      </c>
      <c r="C23" s="2">
        <v>0.59950999999999999</v>
      </c>
      <c r="D23" s="2">
        <f t="shared" ref="D23:D37" si="8">C23*0.9</f>
        <v>0.53955900000000001</v>
      </c>
      <c r="E23" s="2">
        <f>C23*1.1</f>
        <v>0.65946100000000007</v>
      </c>
      <c r="F23" s="3" t="s">
        <v>1</v>
      </c>
      <c r="G23" s="2" t="s">
        <v>0</v>
      </c>
    </row>
    <row r="24" spans="1:7" x14ac:dyDescent="0.2">
      <c r="A24" s="2" t="s">
        <v>101</v>
      </c>
      <c r="B24" s="2" t="s">
        <v>42</v>
      </c>
      <c r="C24" s="2">
        <v>1.1676E-4</v>
      </c>
      <c r="D24" s="2">
        <f t="shared" si="8"/>
        <v>1.05084E-4</v>
      </c>
      <c r="E24" s="2">
        <f>C24*1.1</f>
        <v>1.28436E-4</v>
      </c>
      <c r="F24" s="3" t="s">
        <v>1</v>
      </c>
      <c r="G24" s="2" t="s">
        <v>0</v>
      </c>
    </row>
    <row r="25" spans="1:7" x14ac:dyDescent="0.2">
      <c r="A25" s="2" t="s">
        <v>102</v>
      </c>
      <c r="B25" s="2" t="s">
        <v>42</v>
      </c>
      <c r="C25" s="2">
        <v>0.87048999999999999</v>
      </c>
      <c r="D25" s="2">
        <f t="shared" si="8"/>
        <v>0.78344100000000005</v>
      </c>
      <c r="E25" s="2">
        <f>C25*1.1</f>
        <v>0.95753900000000003</v>
      </c>
      <c r="F25" s="3" t="s">
        <v>1</v>
      </c>
      <c r="G25" s="2" t="s">
        <v>0</v>
      </c>
    </row>
    <row r="26" spans="1:7" x14ac:dyDescent="0.2">
      <c r="A26" s="2" t="s">
        <v>103</v>
      </c>
      <c r="B26" s="2" t="s">
        <v>42</v>
      </c>
      <c r="C26" s="2">
        <v>10.629</v>
      </c>
      <c r="D26" s="2">
        <f t="shared" si="8"/>
        <v>9.5661000000000005</v>
      </c>
      <c r="E26" s="2">
        <f>C26*1.1</f>
        <v>11.6919</v>
      </c>
      <c r="F26" s="3" t="s">
        <v>1</v>
      </c>
      <c r="G26" s="2" t="s">
        <v>0</v>
      </c>
    </row>
    <row r="27" spans="1:7" x14ac:dyDescent="0.2">
      <c r="A27" s="2" t="s">
        <v>104</v>
      </c>
      <c r="B27" s="2" t="s">
        <v>42</v>
      </c>
      <c r="C27" s="2">
        <v>19.785</v>
      </c>
      <c r="D27" s="2">
        <f t="shared" si="8"/>
        <v>17.8065</v>
      </c>
      <c r="E27" s="2">
        <f>C27*1.1</f>
        <v>21.763500000000001</v>
      </c>
      <c r="F27" s="3" t="s">
        <v>1</v>
      </c>
      <c r="G27" s="2" t="s">
        <v>0</v>
      </c>
    </row>
    <row r="28" spans="1:7" x14ac:dyDescent="0.2">
      <c r="A28" s="2" t="s">
        <v>105</v>
      </c>
      <c r="B28" s="2" t="s">
        <v>42</v>
      </c>
      <c r="C28" s="2">
        <v>0.47893999999999998</v>
      </c>
      <c r="D28" s="2">
        <f t="shared" si="8"/>
        <v>0.43104599999999998</v>
      </c>
      <c r="E28" s="2">
        <f>C28*1.1</f>
        <v>0.52683400000000002</v>
      </c>
      <c r="F28" s="3" t="s">
        <v>1</v>
      </c>
      <c r="G28" s="2" t="s">
        <v>0</v>
      </c>
    </row>
    <row r="29" spans="1:7" x14ac:dyDescent="0.2">
      <c r="A29" s="2" t="s">
        <v>106</v>
      </c>
      <c r="B29" s="2" t="s">
        <v>42</v>
      </c>
      <c r="C29" s="2">
        <v>0.81013999999999997</v>
      </c>
      <c r="D29" s="2">
        <f t="shared" si="8"/>
        <v>0.72912599999999994</v>
      </c>
      <c r="E29" s="2">
        <f>C29*1.1</f>
        <v>0.891154</v>
      </c>
      <c r="F29" s="3" t="s">
        <v>1</v>
      </c>
      <c r="G29" s="2" t="s">
        <v>0</v>
      </c>
    </row>
    <row r="30" spans="1:7" x14ac:dyDescent="0.2">
      <c r="A30" s="2" t="s">
        <v>107</v>
      </c>
      <c r="B30" s="2" t="s">
        <v>42</v>
      </c>
      <c r="C30" s="2">
        <v>0.25163999999999997</v>
      </c>
      <c r="D30" s="2">
        <f t="shared" si="8"/>
        <v>0.22647599999999998</v>
      </c>
      <c r="E30" s="2">
        <f>C30*1.1</f>
        <v>0.27680399999999999</v>
      </c>
      <c r="F30" s="3" t="s">
        <v>1</v>
      </c>
      <c r="G30" s="2" t="s">
        <v>0</v>
      </c>
    </row>
    <row r="31" spans="1:7" x14ac:dyDescent="0.2">
      <c r="A31" s="2" t="s">
        <v>108</v>
      </c>
      <c r="B31" s="2" t="s">
        <v>42</v>
      </c>
      <c r="C31" s="2">
        <v>0.99434</v>
      </c>
      <c r="D31" s="2">
        <f t="shared" si="8"/>
        <v>0.89490599999999998</v>
      </c>
      <c r="E31" s="2">
        <f>C31*1.1</f>
        <v>1.093774</v>
      </c>
      <c r="F31" s="3" t="s">
        <v>1</v>
      </c>
      <c r="G31" s="2" t="s">
        <v>0</v>
      </c>
    </row>
    <row r="32" spans="1:7" x14ac:dyDescent="0.2">
      <c r="A32" s="2" t="s">
        <v>129</v>
      </c>
      <c r="B32" s="2" t="s">
        <v>42</v>
      </c>
      <c r="C32" s="2">
        <v>168410</v>
      </c>
      <c r="D32" s="2">
        <f t="shared" si="8"/>
        <v>151569</v>
      </c>
      <c r="E32" s="2">
        <f>C32*1.1</f>
        <v>185251.00000000003</v>
      </c>
      <c r="F32" s="3" t="s">
        <v>1</v>
      </c>
      <c r="G32" s="2" t="s">
        <v>0</v>
      </c>
    </row>
    <row r="33" spans="1:7" x14ac:dyDescent="0.2">
      <c r="A33" s="2" t="s">
        <v>109</v>
      </c>
      <c r="B33" s="2" t="s">
        <v>42</v>
      </c>
      <c r="C33" s="2">
        <v>0.24282000000000001</v>
      </c>
      <c r="D33" s="2">
        <f t="shared" si="8"/>
        <v>0.21853800000000001</v>
      </c>
      <c r="E33" s="2">
        <f>C33*1.1</f>
        <v>0.26710200000000001</v>
      </c>
      <c r="F33" s="3" t="s">
        <v>1</v>
      </c>
      <c r="G33" s="2" t="s">
        <v>0</v>
      </c>
    </row>
    <row r="34" spans="1:7" x14ac:dyDescent="0.2">
      <c r="A34" s="2" t="s">
        <v>110</v>
      </c>
      <c r="B34" s="2" t="s">
        <v>42</v>
      </c>
      <c r="C34" s="2">
        <v>9.8525000000000001E-2</v>
      </c>
      <c r="D34" s="2">
        <f t="shared" si="8"/>
        <v>8.8672500000000001E-2</v>
      </c>
      <c r="E34" s="2">
        <f>C34*1.1</f>
        <v>0.10837750000000002</v>
      </c>
      <c r="F34" s="3" t="s">
        <v>1</v>
      </c>
      <c r="G34" s="2" t="s">
        <v>0</v>
      </c>
    </row>
    <row r="35" spans="1:7" x14ac:dyDescent="0.2">
      <c r="A35" s="2" t="s">
        <v>122</v>
      </c>
      <c r="B35" s="2" t="s">
        <v>42</v>
      </c>
      <c r="C35" s="2">
        <v>8.2527999999999994E-3</v>
      </c>
      <c r="D35" s="2">
        <f t="shared" si="8"/>
        <v>7.42752E-3</v>
      </c>
      <c r="E35" s="2">
        <f t="shared" ref="E35:E37" si="9">C35*1.1</f>
        <v>9.0780800000000005E-3</v>
      </c>
      <c r="F35" s="3" t="s">
        <v>1</v>
      </c>
      <c r="G35" s="2" t="s">
        <v>0</v>
      </c>
    </row>
    <row r="36" spans="1:7" x14ac:dyDescent="0.2">
      <c r="A36" s="2" t="s">
        <v>90</v>
      </c>
      <c r="B36" s="2" t="s">
        <v>42</v>
      </c>
      <c r="C36" s="2">
        <v>8.5990000000000007E-3</v>
      </c>
      <c r="D36" s="2">
        <f t="shared" si="8"/>
        <v>7.7391000000000005E-3</v>
      </c>
      <c r="E36" s="2">
        <f t="shared" si="9"/>
        <v>9.458900000000001E-3</v>
      </c>
      <c r="F36" s="3" t="s">
        <v>1</v>
      </c>
      <c r="G36" s="2" t="s">
        <v>0</v>
      </c>
    </row>
    <row r="37" spans="1:7" x14ac:dyDescent="0.2">
      <c r="A37" s="2" t="s">
        <v>123</v>
      </c>
      <c r="B37" s="2" t="s">
        <v>42</v>
      </c>
      <c r="C37" s="2">
        <v>2.0161999999999999E-2</v>
      </c>
      <c r="D37" s="2">
        <f t="shared" si="8"/>
        <v>1.81458E-2</v>
      </c>
      <c r="E37" s="2">
        <f t="shared" si="9"/>
        <v>2.2178200000000002E-2</v>
      </c>
      <c r="F37" s="3" t="s">
        <v>1</v>
      </c>
      <c r="G37" s="2" t="s">
        <v>0</v>
      </c>
    </row>
    <row r="38" spans="1:7" x14ac:dyDescent="0.2">
      <c r="A38" s="2" t="s">
        <v>39</v>
      </c>
      <c r="B38" s="2" t="s">
        <v>42</v>
      </c>
      <c r="C38" s="2">
        <v>0.158</v>
      </c>
      <c r="D38" s="2">
        <f>C38*0.9</f>
        <v>0.14219999999999999</v>
      </c>
      <c r="E38" s="2">
        <f>C38*1.1</f>
        <v>0.17380000000000001</v>
      </c>
      <c r="F38" s="3" t="s">
        <v>1</v>
      </c>
      <c r="G38" s="2" t="s">
        <v>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3A8C1-31D1-8447-9043-3E804D12662D}">
  <dimension ref="A1:G38"/>
  <sheetViews>
    <sheetView topLeftCell="A8" workbookViewId="0">
      <selection activeCell="K24" sqref="K24"/>
    </sheetView>
  </sheetViews>
  <sheetFormatPr baseColWidth="10" defaultRowHeight="16" x14ac:dyDescent="0.2"/>
  <cols>
    <col min="1" max="1" width="23.83203125" bestFit="1" customWidth="1"/>
    <col min="2" max="2" width="15" bestFit="1" customWidth="1"/>
    <col min="6" max="6" width="11.83203125" bestFit="1" customWidth="1"/>
    <col min="7" max="7" width="11.66406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65</v>
      </c>
      <c r="B2" s="2" t="s">
        <v>43</v>
      </c>
      <c r="C2" s="2">
        <f>1.26/74049000*147170000</f>
        <v>2.5042093748733945</v>
      </c>
      <c r="D2" s="2">
        <f t="shared" ref="D2:D3" si="0">C2*0.9</f>
        <v>2.2537884373860551</v>
      </c>
      <c r="E2" s="2">
        <f t="shared" ref="E2:E3" si="1">C2*1.1</f>
        <v>2.7546303123607343</v>
      </c>
      <c r="F2" s="4" t="s">
        <v>1</v>
      </c>
      <c r="G2" s="5" t="s">
        <v>0</v>
      </c>
    </row>
    <row r="3" spans="1:7" x14ac:dyDescent="0.2">
      <c r="A3" s="2" t="s">
        <v>71</v>
      </c>
      <c r="B3" s="2" t="s">
        <v>43</v>
      </c>
      <c r="C3" s="2">
        <f>122.09/2500</f>
        <v>4.8836000000000004E-2</v>
      </c>
      <c r="D3" s="2">
        <f t="shared" si="0"/>
        <v>4.3952400000000003E-2</v>
      </c>
      <c r="E3" s="2">
        <f t="shared" si="1"/>
        <v>5.3719600000000006E-2</v>
      </c>
      <c r="F3" s="4" t="s">
        <v>1</v>
      </c>
      <c r="G3" s="5" t="s">
        <v>0</v>
      </c>
    </row>
    <row r="4" spans="1:7" x14ac:dyDescent="0.2">
      <c r="A4" s="2" t="s">
        <v>27</v>
      </c>
      <c r="B4" s="2" t="s">
        <v>43</v>
      </c>
      <c r="C4" s="2">
        <f>57485/300</f>
        <v>191.61666666666667</v>
      </c>
      <c r="D4" s="2">
        <f t="shared" ref="D4:D16" si="2">C4*0.9</f>
        <v>172.45500000000001</v>
      </c>
      <c r="E4" s="2">
        <f t="shared" ref="E4:E16" si="3">C4*1.1</f>
        <v>210.77833333333336</v>
      </c>
      <c r="F4" s="4" t="s">
        <v>1</v>
      </c>
      <c r="G4" s="5" t="s">
        <v>0</v>
      </c>
    </row>
    <row r="5" spans="1:7" x14ac:dyDescent="0.2">
      <c r="A5" s="2" t="s">
        <v>28</v>
      </c>
      <c r="B5" s="2" t="s">
        <v>43</v>
      </c>
      <c r="C5" s="2">
        <v>7.2035999999999998</v>
      </c>
      <c r="D5" s="2">
        <f t="shared" si="2"/>
        <v>6.4832400000000003</v>
      </c>
      <c r="E5" s="2">
        <f t="shared" si="3"/>
        <v>7.9239600000000001</v>
      </c>
      <c r="F5" s="4" t="s">
        <v>1</v>
      </c>
      <c r="G5" s="5" t="s">
        <v>0</v>
      </c>
    </row>
    <row r="6" spans="1:7" x14ac:dyDescent="0.2">
      <c r="A6" s="2" t="s">
        <v>29</v>
      </c>
      <c r="B6" s="2" t="s">
        <v>43</v>
      </c>
      <c r="C6" s="2">
        <v>2.0272000000000001</v>
      </c>
      <c r="D6" s="2">
        <f t="shared" si="2"/>
        <v>1.8244800000000001</v>
      </c>
      <c r="E6" s="2">
        <f t="shared" si="3"/>
        <v>2.2299200000000003</v>
      </c>
      <c r="F6" s="3" t="s">
        <v>1</v>
      </c>
      <c r="G6" s="2" t="s">
        <v>0</v>
      </c>
    </row>
    <row r="7" spans="1:7" x14ac:dyDescent="0.2">
      <c r="A7" s="2" t="s">
        <v>70</v>
      </c>
      <c r="B7" s="2" t="s">
        <v>43</v>
      </c>
      <c r="C7" s="2">
        <v>1.7265999999999999</v>
      </c>
      <c r="D7" s="2">
        <f t="shared" si="2"/>
        <v>1.5539399999999999</v>
      </c>
      <c r="E7" s="2">
        <f t="shared" si="3"/>
        <v>1.8992599999999999</v>
      </c>
      <c r="F7" s="3" t="s">
        <v>1</v>
      </c>
      <c r="G7" s="2" t="s">
        <v>0</v>
      </c>
    </row>
    <row r="8" spans="1:7" x14ac:dyDescent="0.2">
      <c r="A8" s="2" t="s">
        <v>30</v>
      </c>
      <c r="B8" s="2" t="s">
        <v>43</v>
      </c>
      <c r="C8" s="2">
        <v>0.90847999999999995</v>
      </c>
      <c r="D8" s="2">
        <f t="shared" si="2"/>
        <v>0.81763200000000003</v>
      </c>
      <c r="E8" s="2">
        <f t="shared" si="3"/>
        <v>0.99932799999999999</v>
      </c>
      <c r="F8" s="3" t="s">
        <v>1</v>
      </c>
      <c r="G8" s="2" t="s">
        <v>0</v>
      </c>
    </row>
    <row r="9" spans="1:7" x14ac:dyDescent="0.2">
      <c r="A9" s="2" t="s">
        <v>31</v>
      </c>
      <c r="B9" s="2" t="s">
        <v>43</v>
      </c>
      <c r="C9" s="2">
        <f>1.3029/20+19/20*C24</f>
        <v>6.9909344999999998E-2</v>
      </c>
      <c r="D9" s="2">
        <f t="shared" si="2"/>
        <v>6.2918410499999994E-2</v>
      </c>
      <c r="E9" s="2">
        <f t="shared" si="3"/>
        <v>7.6900279500000002E-2</v>
      </c>
      <c r="F9" s="3" t="s">
        <v>1</v>
      </c>
      <c r="G9" s="2" t="s">
        <v>0</v>
      </c>
    </row>
    <row r="10" spans="1:7" x14ac:dyDescent="0.2">
      <c r="A10" s="2" t="s">
        <v>32</v>
      </c>
      <c r="B10" s="2" t="s">
        <v>43</v>
      </c>
      <c r="C10" s="2">
        <v>0.97877999999999998</v>
      </c>
      <c r="D10" s="2">
        <f t="shared" si="2"/>
        <v>0.88090199999999996</v>
      </c>
      <c r="E10" s="2">
        <f t="shared" si="3"/>
        <v>1.0766580000000001</v>
      </c>
      <c r="F10" s="3" t="s">
        <v>1</v>
      </c>
      <c r="G10" s="2" t="s">
        <v>0</v>
      </c>
    </row>
    <row r="11" spans="1:7" x14ac:dyDescent="0.2">
      <c r="A11" s="2" t="s">
        <v>33</v>
      </c>
      <c r="B11" s="2" t="s">
        <v>43</v>
      </c>
      <c r="C11" s="2">
        <v>0.42747000000000002</v>
      </c>
      <c r="D11" s="2">
        <f t="shared" si="2"/>
        <v>0.38472300000000004</v>
      </c>
      <c r="E11" s="2">
        <f t="shared" si="3"/>
        <v>0.47021700000000005</v>
      </c>
      <c r="F11" s="3" t="s">
        <v>1</v>
      </c>
      <c r="G11" s="2" t="s">
        <v>0</v>
      </c>
    </row>
    <row r="12" spans="1:7" x14ac:dyDescent="0.2">
      <c r="A12" s="2" t="s">
        <v>34</v>
      </c>
      <c r="B12" s="2" t="s">
        <v>43</v>
      </c>
      <c r="C12" s="2">
        <v>2.7949000000000002</v>
      </c>
      <c r="D12" s="2">
        <f t="shared" si="2"/>
        <v>2.5154100000000001</v>
      </c>
      <c r="E12" s="2">
        <f t="shared" si="3"/>
        <v>3.0743900000000006</v>
      </c>
      <c r="F12" s="3" t="s">
        <v>1</v>
      </c>
      <c r="G12" s="2" t="s">
        <v>0</v>
      </c>
    </row>
    <row r="13" spans="1:7" x14ac:dyDescent="0.2">
      <c r="A13" s="2" t="s">
        <v>35</v>
      </c>
      <c r="B13" s="2" t="s">
        <v>43</v>
      </c>
      <c r="C13" s="2">
        <v>0.77271999999999996</v>
      </c>
      <c r="D13" s="2">
        <f t="shared" si="2"/>
        <v>0.69544799999999996</v>
      </c>
      <c r="E13" s="2">
        <f t="shared" si="3"/>
        <v>0.84999200000000008</v>
      </c>
      <c r="F13" s="3" t="s">
        <v>1</v>
      </c>
      <c r="G13" s="2" t="s">
        <v>0</v>
      </c>
    </row>
    <row r="14" spans="1:7" x14ac:dyDescent="0.2">
      <c r="A14" s="2" t="s">
        <v>36</v>
      </c>
      <c r="B14" s="2" t="s">
        <v>43</v>
      </c>
      <c r="C14" s="2">
        <v>0.90305000000000002</v>
      </c>
      <c r="D14" s="2">
        <f t="shared" si="2"/>
        <v>0.81274500000000005</v>
      </c>
      <c r="E14" s="2">
        <f t="shared" si="3"/>
        <v>0.9933550000000001</v>
      </c>
      <c r="F14" s="4" t="s">
        <v>1</v>
      </c>
      <c r="G14" s="5" t="s">
        <v>0</v>
      </c>
    </row>
    <row r="15" spans="1:7" x14ac:dyDescent="0.2">
      <c r="A15" s="2" t="s">
        <v>83</v>
      </c>
      <c r="B15" s="2" t="s">
        <v>43</v>
      </c>
      <c r="C15" s="2">
        <f>0.57519*115.03/245.41</f>
        <v>0.2696063962348722</v>
      </c>
      <c r="D15" s="2">
        <f t="shared" si="2"/>
        <v>0.24264575661138499</v>
      </c>
      <c r="E15" s="2">
        <f t="shared" si="3"/>
        <v>0.29656703585835947</v>
      </c>
      <c r="F15" s="3" t="s">
        <v>1</v>
      </c>
      <c r="G15" s="5" t="s">
        <v>0</v>
      </c>
    </row>
    <row r="16" spans="1:7" x14ac:dyDescent="0.2">
      <c r="A16" s="2" t="s">
        <v>84</v>
      </c>
      <c r="B16" s="2" t="s">
        <v>43</v>
      </c>
      <c r="C16" s="2">
        <v>3.4746000000000001</v>
      </c>
      <c r="D16" s="2">
        <f t="shared" si="2"/>
        <v>3.1271400000000003</v>
      </c>
      <c r="E16" s="2">
        <f t="shared" si="3"/>
        <v>3.8220600000000005</v>
      </c>
      <c r="F16" s="3" t="s">
        <v>1</v>
      </c>
      <c r="G16" s="5" t="s">
        <v>0</v>
      </c>
    </row>
    <row r="17" spans="1:7" x14ac:dyDescent="0.2">
      <c r="A17" s="2" t="s">
        <v>90</v>
      </c>
      <c r="B17" s="2" t="s">
        <v>43</v>
      </c>
      <c r="C17" s="2">
        <v>0.1071</v>
      </c>
      <c r="D17" s="2">
        <f>C17*0.9</f>
        <v>9.6390000000000003E-2</v>
      </c>
      <c r="E17" s="2">
        <f>C17*1.1</f>
        <v>0.11781000000000001</v>
      </c>
      <c r="F17" s="3" t="s">
        <v>1</v>
      </c>
      <c r="G17" s="2" t="s">
        <v>0</v>
      </c>
    </row>
    <row r="18" spans="1:7" x14ac:dyDescent="0.2">
      <c r="A18" s="2" t="s">
        <v>39</v>
      </c>
      <c r="B18" s="2" t="s">
        <v>43</v>
      </c>
      <c r="C18" s="2">
        <v>0.26663999999999999</v>
      </c>
      <c r="D18" s="2">
        <f>C18*0.9</f>
        <v>0.23997599999999999</v>
      </c>
      <c r="E18" s="2">
        <f>C18*1.1</f>
        <v>0.29330400000000001</v>
      </c>
      <c r="F18" s="3" t="s">
        <v>1</v>
      </c>
      <c r="G18" s="2" t="s">
        <v>0</v>
      </c>
    </row>
    <row r="19" spans="1:7" x14ac:dyDescent="0.2">
      <c r="A19" s="2" t="s">
        <v>107</v>
      </c>
      <c r="B19" s="2" t="s">
        <v>43</v>
      </c>
      <c r="C19" s="2">
        <v>0.18748000000000001</v>
      </c>
      <c r="D19" s="2">
        <f t="shared" ref="D19" si="4">C19*0.9</f>
        <v>0.16873200000000002</v>
      </c>
      <c r="E19" s="2">
        <f t="shared" ref="E19" si="5">C19*1.1</f>
        <v>0.20622800000000002</v>
      </c>
      <c r="F19" s="3" t="s">
        <v>1</v>
      </c>
      <c r="G19" s="2" t="s">
        <v>0</v>
      </c>
    </row>
    <row r="20" spans="1:7" x14ac:dyDescent="0.2">
      <c r="A20" s="2" t="s">
        <v>37</v>
      </c>
      <c r="B20" s="2" t="s">
        <v>43</v>
      </c>
      <c r="C20" s="2">
        <f>0.147*C37+0.1222*C35+87.3/3600*C38+2.3704*C37+0.312*C36+(1000-1000*7.8/100/101.07*207.43)/1000*C31+0.9454*C24+1000*7.8/100/1000*C32/35335*2665+1000*7.8/100/101.07*(207.43-101.07)/1000*C33+0.487*1000*7.8/100/101.07*207.43/1000*C38+2.59/1000*C34</f>
        <v>15371.082923819398</v>
      </c>
      <c r="D20" s="2">
        <f>C20*0.9</f>
        <v>13833.974631437459</v>
      </c>
      <c r="E20" s="2">
        <f>C20*1.1</f>
        <v>16908.19121620134</v>
      </c>
      <c r="F20" s="3" t="s">
        <v>1</v>
      </c>
      <c r="G20" s="2" t="s">
        <v>0</v>
      </c>
    </row>
    <row r="21" spans="1:7" x14ac:dyDescent="0.2">
      <c r="A21" s="2" t="s">
        <v>38</v>
      </c>
      <c r="B21" s="2" t="s">
        <v>43</v>
      </c>
      <c r="C21" s="2">
        <f>0.4168*C36+3.358*C35+0.206*C37+1.6569*C37+0.4856*C36+0.0149*C38+1.2669*C36+0.7722*C23+0.6177*C24+0.0349*C25+0.136*C26+0.0834*C27+0.0973*C28+0.0088*C29+1.301*C30</f>
        <v>50.269262735110004</v>
      </c>
      <c r="D21" s="2">
        <f>C21*0.9</f>
        <v>45.242336461599002</v>
      </c>
      <c r="E21" s="2">
        <f>C21*1.1</f>
        <v>55.296189008621006</v>
      </c>
      <c r="F21" s="3" t="s">
        <v>1</v>
      </c>
      <c r="G21" s="2" t="s">
        <v>0</v>
      </c>
    </row>
    <row r="23" spans="1:7" x14ac:dyDescent="0.2">
      <c r="A23" s="2" t="s">
        <v>100</v>
      </c>
      <c r="B23" s="2" t="s">
        <v>43</v>
      </c>
      <c r="C23" s="2">
        <v>1.7233000000000001</v>
      </c>
      <c r="D23" s="2">
        <f t="shared" ref="D23:D37" si="6">C23*0.9</f>
        <v>1.5509700000000002</v>
      </c>
      <c r="E23" s="2">
        <f t="shared" ref="E23:E37" si="7">C23*1.1</f>
        <v>1.8956300000000001</v>
      </c>
      <c r="F23" s="3" t="s">
        <v>1</v>
      </c>
      <c r="G23" s="2" t="s">
        <v>0</v>
      </c>
    </row>
    <row r="24" spans="1:7" x14ac:dyDescent="0.2">
      <c r="A24" s="2" t="s">
        <v>101</v>
      </c>
      <c r="B24" s="2" t="s">
        <v>43</v>
      </c>
      <c r="C24" s="2">
        <v>5.0150999999999998E-3</v>
      </c>
      <c r="D24" s="2">
        <f t="shared" si="6"/>
        <v>4.5135899999999996E-3</v>
      </c>
      <c r="E24" s="2">
        <f t="shared" si="7"/>
        <v>5.5166099999999999E-3</v>
      </c>
      <c r="F24" s="3" t="s">
        <v>1</v>
      </c>
      <c r="G24" s="2" t="s">
        <v>0</v>
      </c>
    </row>
    <row r="25" spans="1:7" x14ac:dyDescent="0.2">
      <c r="A25" s="2" t="s">
        <v>102</v>
      </c>
      <c r="B25" s="2" t="s">
        <v>43</v>
      </c>
      <c r="C25" s="2">
        <v>2.5164</v>
      </c>
      <c r="D25" s="2">
        <f t="shared" si="6"/>
        <v>2.2647599999999999</v>
      </c>
      <c r="E25" s="2">
        <f t="shared" si="7"/>
        <v>2.7680400000000001</v>
      </c>
      <c r="F25" s="3" t="s">
        <v>1</v>
      </c>
      <c r="G25" s="2" t="s">
        <v>0</v>
      </c>
    </row>
    <row r="26" spans="1:7" x14ac:dyDescent="0.2">
      <c r="A26" s="2" t="s">
        <v>103</v>
      </c>
      <c r="B26" s="2" t="s">
        <v>43</v>
      </c>
      <c r="C26" s="2">
        <v>303.18</v>
      </c>
      <c r="D26" s="2">
        <f t="shared" si="6"/>
        <v>272.86200000000002</v>
      </c>
      <c r="E26" s="2">
        <f t="shared" si="7"/>
        <v>333.49800000000005</v>
      </c>
      <c r="F26" s="3" t="s">
        <v>1</v>
      </c>
      <c r="G26" s="2" t="s">
        <v>0</v>
      </c>
    </row>
    <row r="27" spans="1:7" x14ac:dyDescent="0.2">
      <c r="A27" s="2" t="s">
        <v>104</v>
      </c>
      <c r="B27" s="2" t="s">
        <v>43</v>
      </c>
      <c r="C27" s="2">
        <v>85.906000000000006</v>
      </c>
      <c r="D27" s="2">
        <f t="shared" si="6"/>
        <v>77.315400000000011</v>
      </c>
      <c r="E27" s="2">
        <f t="shared" si="7"/>
        <v>94.496600000000015</v>
      </c>
      <c r="F27" s="3" t="s">
        <v>1</v>
      </c>
      <c r="G27" s="2" t="s">
        <v>0</v>
      </c>
    </row>
    <row r="28" spans="1:7" x14ac:dyDescent="0.2">
      <c r="A28" s="2" t="s">
        <v>105</v>
      </c>
      <c r="B28" s="2" t="s">
        <v>43</v>
      </c>
      <c r="C28" s="2">
        <v>2.8032000000000001E-2</v>
      </c>
      <c r="D28" s="2">
        <f t="shared" si="6"/>
        <v>2.5228800000000003E-2</v>
      </c>
      <c r="E28" s="2">
        <f t="shared" si="7"/>
        <v>3.0835200000000004E-2</v>
      </c>
      <c r="F28" s="3" t="s">
        <v>1</v>
      </c>
      <c r="G28" s="2" t="s">
        <v>0</v>
      </c>
    </row>
    <row r="29" spans="1:7" x14ac:dyDescent="0.2">
      <c r="A29" s="2" t="s">
        <v>106</v>
      </c>
      <c r="B29" s="2" t="s">
        <v>43</v>
      </c>
      <c r="C29" s="2">
        <v>0.42747000000000002</v>
      </c>
      <c r="D29" s="2">
        <f t="shared" si="6"/>
        <v>0.38472300000000004</v>
      </c>
      <c r="E29" s="2">
        <f t="shared" si="7"/>
        <v>0.47021700000000005</v>
      </c>
      <c r="F29" s="3" t="s">
        <v>1</v>
      </c>
      <c r="G29" s="2" t="s">
        <v>0</v>
      </c>
    </row>
    <row r="30" spans="1:7" x14ac:dyDescent="0.2">
      <c r="A30" s="2" t="s">
        <v>107</v>
      </c>
      <c r="B30" s="2" t="s">
        <v>43</v>
      </c>
      <c r="C30" s="2">
        <v>0.18748000000000001</v>
      </c>
      <c r="D30" s="2">
        <f t="shared" si="6"/>
        <v>0.16873200000000002</v>
      </c>
      <c r="E30" s="2">
        <f t="shared" si="7"/>
        <v>0.20622800000000002</v>
      </c>
      <c r="F30" s="3" t="s">
        <v>1</v>
      </c>
      <c r="G30" s="2" t="s">
        <v>0</v>
      </c>
    </row>
    <row r="31" spans="1:7" x14ac:dyDescent="0.2">
      <c r="A31" s="2" t="s">
        <v>108</v>
      </c>
      <c r="B31" s="2" t="s">
        <v>43</v>
      </c>
      <c r="C31" s="2">
        <v>3.0363000000000002</v>
      </c>
      <c r="D31" s="2">
        <f t="shared" si="6"/>
        <v>2.7326700000000002</v>
      </c>
      <c r="E31" s="2">
        <f t="shared" si="7"/>
        <v>3.3399300000000007</v>
      </c>
      <c r="F31" s="3" t="s">
        <v>1</v>
      </c>
      <c r="G31" s="2" t="s">
        <v>0</v>
      </c>
    </row>
    <row r="32" spans="1:7" x14ac:dyDescent="0.2">
      <c r="A32" s="2" t="s">
        <v>129</v>
      </c>
      <c r="B32" s="2" t="s">
        <v>43</v>
      </c>
      <c r="C32" s="2">
        <v>2612400</v>
      </c>
      <c r="D32" s="2">
        <f t="shared" si="6"/>
        <v>2351160</v>
      </c>
      <c r="E32" s="2">
        <f t="shared" si="7"/>
        <v>2873640</v>
      </c>
      <c r="F32" s="3" t="s">
        <v>1</v>
      </c>
      <c r="G32" s="2" t="s">
        <v>0</v>
      </c>
    </row>
    <row r="33" spans="1:7" x14ac:dyDescent="0.2">
      <c r="A33" s="2" t="s">
        <v>109</v>
      </c>
      <c r="B33" s="2" t="s">
        <v>43</v>
      </c>
      <c r="C33" s="2">
        <v>0.57521</v>
      </c>
      <c r="D33" s="2">
        <f t="shared" si="6"/>
        <v>0.51768900000000007</v>
      </c>
      <c r="E33" s="2">
        <f t="shared" si="7"/>
        <v>0.63273100000000004</v>
      </c>
      <c r="F33" s="3" t="s">
        <v>1</v>
      </c>
      <c r="G33" s="2" t="s">
        <v>0</v>
      </c>
    </row>
    <row r="34" spans="1:7" x14ac:dyDescent="0.2">
      <c r="A34" s="2" t="s">
        <v>110</v>
      </c>
      <c r="B34" s="2" t="s">
        <v>43</v>
      </c>
      <c r="C34" s="2">
        <v>0.1681</v>
      </c>
      <c r="D34" s="2">
        <f t="shared" si="6"/>
        <v>0.15129000000000001</v>
      </c>
      <c r="E34" s="2">
        <f t="shared" si="7"/>
        <v>0.18491000000000002</v>
      </c>
      <c r="F34" s="3" t="s">
        <v>1</v>
      </c>
      <c r="G34" s="2" t="s">
        <v>0</v>
      </c>
    </row>
    <row r="35" spans="1:7" x14ac:dyDescent="0.2">
      <c r="A35" s="2" t="s">
        <v>122</v>
      </c>
      <c r="B35" s="2" t="s">
        <v>43</v>
      </c>
      <c r="C35" s="2">
        <v>2.5760999999999999E-2</v>
      </c>
      <c r="D35" s="2">
        <f t="shared" si="6"/>
        <v>2.3184900000000001E-2</v>
      </c>
      <c r="E35" s="2">
        <f t="shared" si="7"/>
        <v>2.83371E-2</v>
      </c>
      <c r="F35" s="3" t="s">
        <v>1</v>
      </c>
      <c r="G35" s="2" t="s">
        <v>0</v>
      </c>
    </row>
    <row r="36" spans="1:7" x14ac:dyDescent="0.2">
      <c r="A36" s="2" t="s">
        <v>90</v>
      </c>
      <c r="B36" s="2" t="s">
        <v>43</v>
      </c>
      <c r="C36" s="2">
        <v>7.0098000000000001E-3</v>
      </c>
      <c r="D36" s="2">
        <f t="shared" si="6"/>
        <v>6.3088200000000006E-3</v>
      </c>
      <c r="E36" s="2">
        <f t="shared" si="7"/>
        <v>7.7107800000000004E-3</v>
      </c>
      <c r="F36" s="3" t="s">
        <v>1</v>
      </c>
      <c r="G36" s="2" t="s">
        <v>0</v>
      </c>
    </row>
    <row r="37" spans="1:7" x14ac:dyDescent="0.2">
      <c r="A37" s="2" t="s">
        <v>123</v>
      </c>
      <c r="B37" s="2" t="s">
        <v>43</v>
      </c>
      <c r="C37" s="2">
        <v>5.0719E-2</v>
      </c>
      <c r="D37" s="2">
        <f t="shared" si="6"/>
        <v>4.5647100000000003E-2</v>
      </c>
      <c r="E37" s="2">
        <f t="shared" si="7"/>
        <v>5.5790900000000004E-2</v>
      </c>
      <c r="F37" s="3" t="s">
        <v>1</v>
      </c>
      <c r="G37" s="2" t="s">
        <v>0</v>
      </c>
    </row>
    <row r="38" spans="1:7" x14ac:dyDescent="0.2">
      <c r="A38" s="2" t="s">
        <v>39</v>
      </c>
      <c r="B38" s="2" t="s">
        <v>43</v>
      </c>
      <c r="C38" s="2">
        <v>0.26663999999999999</v>
      </c>
      <c r="D38" s="2">
        <f>C38*0.9</f>
        <v>0.23997599999999999</v>
      </c>
      <c r="E38" s="2">
        <f>C38*1.1</f>
        <v>0.29330400000000001</v>
      </c>
      <c r="F38" s="3" t="s">
        <v>1</v>
      </c>
      <c r="G38" s="2" t="s">
        <v>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C6322-9D61-AD41-A8B1-E5A60BE6F0EB}">
  <dimension ref="A1:G38"/>
  <sheetViews>
    <sheetView topLeftCell="A11" workbookViewId="0">
      <selection activeCell="K28" sqref="K28"/>
    </sheetView>
  </sheetViews>
  <sheetFormatPr baseColWidth="10" defaultRowHeight="16" x14ac:dyDescent="0.2"/>
  <cols>
    <col min="1" max="1" width="23.83203125" bestFit="1" customWidth="1"/>
    <col min="2" max="2" width="15" bestFit="1" customWidth="1"/>
    <col min="3" max="3" width="14.1640625" bestFit="1" customWidth="1"/>
    <col min="6" max="6" width="11.83203125" bestFit="1" customWidth="1"/>
    <col min="7" max="7" width="11.66406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65</v>
      </c>
      <c r="B2" s="2" t="s">
        <v>44</v>
      </c>
      <c r="C2" s="2">
        <f>1.26/74049000*27759</f>
        <v>4.7234047725154961E-4</v>
      </c>
      <c r="D2" s="2">
        <f t="shared" ref="D2:D3" si="0">C2*0.9</f>
        <v>4.2510642952639467E-4</v>
      </c>
      <c r="E2" s="2">
        <f t="shared" ref="E2:E3" si="1">C2*1.1</f>
        <v>5.1957452497670465E-4</v>
      </c>
      <c r="F2" s="4" t="s">
        <v>1</v>
      </c>
      <c r="G2" s="5" t="s">
        <v>0</v>
      </c>
    </row>
    <row r="3" spans="1:7" x14ac:dyDescent="0.2">
      <c r="A3" s="2" t="s">
        <v>71</v>
      </c>
      <c r="B3" s="2" t="s">
        <v>44</v>
      </c>
      <c r="C3" s="2">
        <f>0.060329/2500</f>
        <v>2.4131600000000001E-5</v>
      </c>
      <c r="D3" s="2">
        <f t="shared" si="0"/>
        <v>2.1718440000000001E-5</v>
      </c>
      <c r="E3" s="2">
        <f t="shared" si="1"/>
        <v>2.6544760000000004E-5</v>
      </c>
      <c r="F3" s="4" t="s">
        <v>1</v>
      </c>
      <c r="G3" s="5" t="s">
        <v>0</v>
      </c>
    </row>
    <row r="4" spans="1:7" x14ac:dyDescent="0.2">
      <c r="A4" s="2" t="s">
        <v>27</v>
      </c>
      <c r="B4" s="2" t="s">
        <v>44</v>
      </c>
      <c r="C4" s="2">
        <f>4.2712/300</f>
        <v>1.4237333333333334E-2</v>
      </c>
      <c r="D4" s="2">
        <f t="shared" ref="D4:D14" si="2">C4*0.9</f>
        <v>1.2813600000000001E-2</v>
      </c>
      <c r="E4" s="2">
        <f t="shared" ref="E4:E14" si="3">C4*1.1</f>
        <v>1.5661066666666668E-2</v>
      </c>
      <c r="F4" s="4" t="s">
        <v>1</v>
      </c>
      <c r="G4" s="5" t="s">
        <v>0</v>
      </c>
    </row>
    <row r="5" spans="1:7" x14ac:dyDescent="0.2">
      <c r="A5" s="2" t="s">
        <v>28</v>
      </c>
      <c r="B5" s="2" t="s">
        <v>44</v>
      </c>
      <c r="C5" s="2">
        <v>8.3217999999999996E-4</v>
      </c>
      <c r="D5" s="2">
        <f t="shared" si="2"/>
        <v>7.4896199999999994E-4</v>
      </c>
      <c r="E5" s="2">
        <f t="shared" si="3"/>
        <v>9.1539799999999999E-4</v>
      </c>
      <c r="F5" s="4" t="s">
        <v>1</v>
      </c>
      <c r="G5" s="5" t="s">
        <v>0</v>
      </c>
    </row>
    <row r="6" spans="1:7" x14ac:dyDescent="0.2">
      <c r="A6" s="2" t="s">
        <v>29</v>
      </c>
      <c r="B6" s="2" t="s">
        <v>44</v>
      </c>
      <c r="C6" s="2">
        <v>6.0428999999999995E-4</v>
      </c>
      <c r="D6" s="2">
        <f t="shared" si="2"/>
        <v>5.4386099999999998E-4</v>
      </c>
      <c r="E6" s="2">
        <f t="shared" si="3"/>
        <v>6.6471900000000003E-4</v>
      </c>
      <c r="F6" s="3" t="s">
        <v>1</v>
      </c>
      <c r="G6" s="2" t="s">
        <v>0</v>
      </c>
    </row>
    <row r="7" spans="1:7" x14ac:dyDescent="0.2">
      <c r="A7" s="2" t="s">
        <v>70</v>
      </c>
      <c r="B7" s="2" t="s">
        <v>44</v>
      </c>
      <c r="C7" s="2">
        <v>4.8310999999999997E-4</v>
      </c>
      <c r="D7" s="2">
        <f t="shared" ref="D7" si="4">C7*0.9</f>
        <v>4.3479899999999998E-4</v>
      </c>
      <c r="E7" s="2">
        <f t="shared" ref="E7" si="5">C7*1.1</f>
        <v>5.3142100000000002E-4</v>
      </c>
      <c r="F7" s="3" t="s">
        <v>1</v>
      </c>
      <c r="G7" s="2" t="s">
        <v>0</v>
      </c>
    </row>
    <row r="8" spans="1:7" x14ac:dyDescent="0.2">
      <c r="A8" s="2" t="s">
        <v>30</v>
      </c>
      <c r="B8" s="2" t="s">
        <v>44</v>
      </c>
      <c r="C8" s="2">
        <v>2.8322E-3</v>
      </c>
      <c r="D8" s="2">
        <f t="shared" si="2"/>
        <v>2.5489800000000002E-3</v>
      </c>
      <c r="E8" s="2">
        <f t="shared" si="3"/>
        <v>3.1154200000000003E-3</v>
      </c>
      <c r="F8" s="3" t="s">
        <v>1</v>
      </c>
      <c r="G8" s="2" t="s">
        <v>0</v>
      </c>
    </row>
    <row r="9" spans="1:7" x14ac:dyDescent="0.2">
      <c r="A9" s="2" t="s">
        <v>31</v>
      </c>
      <c r="B9" s="2" t="s">
        <v>44</v>
      </c>
      <c r="C9" s="11">
        <f>0.000079544/20+19/20*C24</f>
        <v>4.0466411999999999E-6</v>
      </c>
      <c r="D9" s="2">
        <f t="shared" si="2"/>
        <v>3.6419770799999999E-6</v>
      </c>
      <c r="E9" s="2">
        <f t="shared" si="3"/>
        <v>4.4513053199999999E-6</v>
      </c>
      <c r="F9" s="3" t="s">
        <v>1</v>
      </c>
      <c r="G9" s="2" t="s">
        <v>0</v>
      </c>
    </row>
    <row r="10" spans="1:7" x14ac:dyDescent="0.2">
      <c r="A10" s="2" t="s">
        <v>32</v>
      </c>
      <c r="B10" s="2" t="s">
        <v>44</v>
      </c>
      <c r="C10" s="2">
        <v>3.9766999999999998E-4</v>
      </c>
      <c r="D10" s="2">
        <f t="shared" si="2"/>
        <v>3.5790299999999996E-4</v>
      </c>
      <c r="E10" s="2">
        <f t="shared" si="3"/>
        <v>4.3743699999999999E-4</v>
      </c>
      <c r="F10" s="3" t="s">
        <v>1</v>
      </c>
      <c r="G10" s="2" t="s">
        <v>0</v>
      </c>
    </row>
    <row r="11" spans="1:7" x14ac:dyDescent="0.2">
      <c r="A11" s="2" t="s">
        <v>33</v>
      </c>
      <c r="B11" s="2" t="s">
        <v>44</v>
      </c>
      <c r="C11" s="2">
        <v>2.9415000000000001E-3</v>
      </c>
      <c r="D11" s="2">
        <f t="shared" si="2"/>
        <v>2.6473500000000001E-3</v>
      </c>
      <c r="E11" s="2">
        <f t="shared" si="3"/>
        <v>3.2356500000000005E-3</v>
      </c>
      <c r="F11" s="3" t="s">
        <v>1</v>
      </c>
      <c r="G11" s="2" t="s">
        <v>0</v>
      </c>
    </row>
    <row r="12" spans="1:7" x14ac:dyDescent="0.2">
      <c r="A12" s="2" t="s">
        <v>34</v>
      </c>
      <c r="B12" s="2" t="s">
        <v>44</v>
      </c>
      <c r="C12" s="2">
        <v>6.3606999999999997E-4</v>
      </c>
      <c r="D12" s="2">
        <f t="shared" si="2"/>
        <v>5.7246299999999994E-4</v>
      </c>
      <c r="E12" s="2">
        <f t="shared" si="3"/>
        <v>6.99677E-4</v>
      </c>
      <c r="F12" s="3" t="s">
        <v>1</v>
      </c>
      <c r="G12" s="2" t="s">
        <v>0</v>
      </c>
    </row>
    <row r="13" spans="1:7" x14ac:dyDescent="0.2">
      <c r="A13" s="2" t="s">
        <v>35</v>
      </c>
      <c r="B13" s="2" t="s">
        <v>44</v>
      </c>
      <c r="C13" s="2">
        <v>3.2907999999999999E-4</v>
      </c>
      <c r="D13" s="2">
        <f t="shared" si="2"/>
        <v>2.9617199999999998E-4</v>
      </c>
      <c r="E13" s="2">
        <f t="shared" si="3"/>
        <v>3.6198799999999999E-4</v>
      </c>
      <c r="F13" s="3" t="s">
        <v>1</v>
      </c>
      <c r="G13" s="2" t="s">
        <v>0</v>
      </c>
    </row>
    <row r="14" spans="1:7" x14ac:dyDescent="0.2">
      <c r="A14" s="2" t="s">
        <v>36</v>
      </c>
      <c r="B14" s="2" t="s">
        <v>44</v>
      </c>
      <c r="C14" s="2">
        <v>4.7381000000000003E-3</v>
      </c>
      <c r="D14" s="2">
        <f t="shared" si="2"/>
        <v>4.2642900000000004E-3</v>
      </c>
      <c r="E14" s="2">
        <f t="shared" si="3"/>
        <v>5.211910000000001E-3</v>
      </c>
      <c r="F14" s="4" t="s">
        <v>1</v>
      </c>
      <c r="G14" s="5" t="s">
        <v>0</v>
      </c>
    </row>
    <row r="15" spans="1:7" x14ac:dyDescent="0.2">
      <c r="A15" s="2" t="s">
        <v>83</v>
      </c>
      <c r="B15" s="2" t="s">
        <v>44</v>
      </c>
      <c r="C15" s="2">
        <f>0.00037325*115.03/245.41</f>
        <v>1.7495190701275417E-4</v>
      </c>
      <c r="D15" s="2">
        <f t="shared" ref="D15" si="6">C15*0.9</f>
        <v>1.5745671631147877E-4</v>
      </c>
      <c r="E15" s="2">
        <f t="shared" ref="E15" si="7">C15*1.1</f>
        <v>1.924470977140296E-4</v>
      </c>
      <c r="F15" s="4" t="s">
        <v>1</v>
      </c>
      <c r="G15" s="5" t="s">
        <v>0</v>
      </c>
    </row>
    <row r="16" spans="1:7" x14ac:dyDescent="0.2">
      <c r="A16" s="2" t="s">
        <v>84</v>
      </c>
      <c r="B16" s="2" t="s">
        <v>44</v>
      </c>
      <c r="C16" s="2">
        <v>2.4632999999999999E-3</v>
      </c>
      <c r="D16" s="2">
        <f t="shared" ref="D16" si="8">C16*0.9</f>
        <v>2.21697E-3</v>
      </c>
      <c r="E16" s="2">
        <f t="shared" ref="E16" si="9">C16*1.1</f>
        <v>2.7096300000000002E-3</v>
      </c>
      <c r="F16" s="4" t="s">
        <v>1</v>
      </c>
      <c r="G16" s="5" t="s">
        <v>0</v>
      </c>
    </row>
    <row r="17" spans="1:7" x14ac:dyDescent="0.2">
      <c r="A17" s="2" t="s">
        <v>90</v>
      </c>
      <c r="B17" s="2" t="s">
        <v>44</v>
      </c>
      <c r="C17" s="11">
        <v>7.8700000000000002E-5</v>
      </c>
      <c r="D17" s="2">
        <f>C17*0.9</f>
        <v>7.0829999999999998E-5</v>
      </c>
      <c r="E17" s="2">
        <f>C17*1.1</f>
        <v>8.6570000000000006E-5</v>
      </c>
      <c r="F17" s="3" t="s">
        <v>1</v>
      </c>
      <c r="G17" s="2" t="s">
        <v>0</v>
      </c>
    </row>
    <row r="18" spans="1:7" x14ac:dyDescent="0.2">
      <c r="A18" s="2" t="s">
        <v>39</v>
      </c>
      <c r="B18" s="2" t="s">
        <v>44</v>
      </c>
      <c r="C18" s="11">
        <v>9.4215000000000005E-5</v>
      </c>
      <c r="D18" s="2">
        <f>C18*0.9</f>
        <v>8.4793500000000007E-5</v>
      </c>
      <c r="E18" s="2">
        <f>C18*1.1</f>
        <v>1.0363650000000002E-4</v>
      </c>
      <c r="F18" s="3" t="s">
        <v>1</v>
      </c>
      <c r="G18" s="2" t="s">
        <v>0</v>
      </c>
    </row>
    <row r="19" spans="1:7" x14ac:dyDescent="0.2">
      <c r="A19" s="2" t="s">
        <v>107</v>
      </c>
      <c r="B19" s="2" t="s">
        <v>44</v>
      </c>
      <c r="C19" s="2">
        <v>1.0547E-3</v>
      </c>
      <c r="D19" s="2">
        <f>C19*0.9</f>
        <v>9.4923000000000002E-4</v>
      </c>
      <c r="E19" s="2">
        <f>C19*1.1</f>
        <v>1.1601700000000001E-3</v>
      </c>
      <c r="F19" s="3" t="s">
        <v>1</v>
      </c>
      <c r="G19" s="2" t="s">
        <v>0</v>
      </c>
    </row>
    <row r="20" spans="1:7" x14ac:dyDescent="0.2">
      <c r="A20" s="2" t="s">
        <v>37</v>
      </c>
      <c r="B20" s="2" t="s">
        <v>44</v>
      </c>
      <c r="C20" s="2">
        <f>0.147*C37+0.1222*C35+87.3/3600*C38+2.3704*C37+0.312*C36+(1000-1000*7.8/100/101.07*207.43)/1000*C31+0.9454*C24+1000*7.8/100/1000*C32/35335*2665+1000*7.8/100/101.07*(207.43-101.07)/1000*C33+0.487*1000*7.8/100/101.07*207.43/1000*C38+2.59/1000*C34</f>
        <v>0.45019348021710359</v>
      </c>
      <c r="D20" s="2">
        <f>C20*0.9</f>
        <v>0.40517413219539322</v>
      </c>
      <c r="E20" s="2">
        <f>C20*1.1</f>
        <v>0.49521282823881402</v>
      </c>
      <c r="F20" s="3" t="s">
        <v>1</v>
      </c>
      <c r="G20" s="2" t="s">
        <v>0</v>
      </c>
    </row>
    <row r="21" spans="1:7" x14ac:dyDescent="0.2">
      <c r="A21" s="2" t="s">
        <v>38</v>
      </c>
      <c r="B21" s="2" t="s">
        <v>44</v>
      </c>
      <c r="C21" s="2">
        <f>0.4168*C36+3.358*C35+0.206*C37+1.6569*C37+0.4856*C36+0.0149*C38+1.2669*C36+0.7722*C23+0.6177*C24+0.0349*C25+0.136*C26+0.0834*C27+0.0973*C28+0.0088*C29+1.301*C30</f>
        <v>5.7592737821191998E-3</v>
      </c>
      <c r="D21" s="2">
        <f>C21*0.9</f>
        <v>5.1833464039072802E-3</v>
      </c>
      <c r="E21" s="2">
        <f>C21*1.1</f>
        <v>6.3352011603311203E-3</v>
      </c>
      <c r="F21" s="3" t="s">
        <v>1</v>
      </c>
      <c r="G21" s="2" t="s">
        <v>0</v>
      </c>
    </row>
    <row r="22" spans="1:7" x14ac:dyDescent="0.2">
      <c r="A22" s="2"/>
      <c r="B22" s="2"/>
      <c r="C22" s="2"/>
      <c r="D22" s="2"/>
      <c r="E22" s="2"/>
      <c r="F22" s="3"/>
      <c r="G22" s="2"/>
    </row>
    <row r="23" spans="1:7" x14ac:dyDescent="0.2">
      <c r="A23" s="2" t="s">
        <v>100</v>
      </c>
      <c r="B23" s="2" t="s">
        <v>44</v>
      </c>
      <c r="C23" s="2">
        <v>4.2278999999999998E-4</v>
      </c>
      <c r="D23" s="2">
        <f t="shared" ref="D23:D38" si="10">C23*0.9</f>
        <v>3.8051099999999999E-4</v>
      </c>
      <c r="E23" s="2">
        <f t="shared" ref="E23:E38" si="11">C23*1.1</f>
        <v>4.6506900000000003E-4</v>
      </c>
      <c r="F23" s="3" t="s">
        <v>1</v>
      </c>
      <c r="G23" s="2" t="s">
        <v>0</v>
      </c>
    </row>
    <row r="24" spans="1:7" x14ac:dyDescent="0.2">
      <c r="A24" s="2" t="s">
        <v>101</v>
      </c>
      <c r="B24" s="2" t="s">
        <v>44</v>
      </c>
      <c r="C24" s="11">
        <v>7.3095999999999995E-8</v>
      </c>
      <c r="D24" s="2">
        <f t="shared" si="10"/>
        <v>6.5786399999999999E-8</v>
      </c>
      <c r="E24" s="2">
        <f t="shared" si="11"/>
        <v>8.0405600000000004E-8</v>
      </c>
      <c r="F24" s="3" t="s">
        <v>1</v>
      </c>
      <c r="G24" s="2" t="s">
        <v>0</v>
      </c>
    </row>
    <row r="25" spans="1:7" x14ac:dyDescent="0.2">
      <c r="A25" s="2" t="s">
        <v>102</v>
      </c>
      <c r="B25" s="2" t="s">
        <v>44</v>
      </c>
      <c r="C25" s="2">
        <v>6.6304999999999999E-4</v>
      </c>
      <c r="D25" s="2">
        <f t="shared" si="10"/>
        <v>5.9674499999999998E-4</v>
      </c>
      <c r="E25" s="2">
        <f t="shared" si="11"/>
        <v>7.29355E-4</v>
      </c>
      <c r="F25" s="3" t="s">
        <v>1</v>
      </c>
      <c r="G25" s="2" t="s">
        <v>0</v>
      </c>
    </row>
    <row r="26" spans="1:7" x14ac:dyDescent="0.2">
      <c r="A26" s="2" t="s">
        <v>103</v>
      </c>
      <c r="B26" s="2" t="s">
        <v>44</v>
      </c>
      <c r="C26" s="2">
        <v>7.8753E-3</v>
      </c>
      <c r="D26" s="2">
        <f t="shared" si="10"/>
        <v>7.0877700000000002E-3</v>
      </c>
      <c r="E26" s="2">
        <f t="shared" si="11"/>
        <v>8.6628300000000016E-3</v>
      </c>
      <c r="F26" s="3" t="s">
        <v>1</v>
      </c>
      <c r="G26" s="2" t="s">
        <v>0</v>
      </c>
    </row>
    <row r="27" spans="1:7" x14ac:dyDescent="0.2">
      <c r="A27" s="2" t="s">
        <v>104</v>
      </c>
      <c r="B27" s="2" t="s">
        <v>44</v>
      </c>
      <c r="C27" s="2">
        <v>3.4404999999999998E-2</v>
      </c>
      <c r="D27" s="2">
        <f t="shared" si="10"/>
        <v>3.0964499999999999E-2</v>
      </c>
      <c r="E27" s="2">
        <f t="shared" si="11"/>
        <v>3.7845500000000004E-2</v>
      </c>
      <c r="F27" s="3" t="s">
        <v>1</v>
      </c>
      <c r="G27" s="2" t="s">
        <v>0</v>
      </c>
    </row>
    <row r="28" spans="1:7" x14ac:dyDescent="0.2">
      <c r="A28" s="2" t="s">
        <v>105</v>
      </c>
      <c r="B28" s="2" t="s">
        <v>44</v>
      </c>
      <c r="C28" s="11">
        <v>4.1992E-5</v>
      </c>
      <c r="D28" s="2">
        <f t="shared" si="10"/>
        <v>3.7792800000000002E-5</v>
      </c>
      <c r="E28" s="2">
        <f t="shared" si="11"/>
        <v>4.6191200000000006E-5</v>
      </c>
      <c r="F28" s="3" t="s">
        <v>1</v>
      </c>
      <c r="G28" s="2" t="s">
        <v>0</v>
      </c>
    </row>
    <row r="29" spans="1:7" x14ac:dyDescent="0.2">
      <c r="A29" s="2" t="s">
        <v>106</v>
      </c>
      <c r="B29" s="2" t="s">
        <v>44</v>
      </c>
      <c r="C29" s="2">
        <v>2.9415000000000001E-3</v>
      </c>
      <c r="D29" s="2">
        <f t="shared" si="10"/>
        <v>2.6473500000000001E-3</v>
      </c>
      <c r="E29" s="2">
        <f t="shared" si="11"/>
        <v>3.2356500000000005E-3</v>
      </c>
      <c r="F29" s="3" t="s">
        <v>1</v>
      </c>
      <c r="G29" s="2" t="s">
        <v>0</v>
      </c>
    </row>
    <row r="30" spans="1:7" x14ac:dyDescent="0.2">
      <c r="A30" s="2" t="s">
        <v>107</v>
      </c>
      <c r="B30" s="2" t="s">
        <v>44</v>
      </c>
      <c r="C30" s="2">
        <v>1.0547E-3</v>
      </c>
      <c r="D30" s="2">
        <f t="shared" si="10"/>
        <v>9.4923000000000002E-4</v>
      </c>
      <c r="E30" s="2">
        <f t="shared" si="11"/>
        <v>1.1601700000000001E-3</v>
      </c>
      <c r="F30" s="3" t="s">
        <v>1</v>
      </c>
      <c r="G30" s="2" t="s">
        <v>0</v>
      </c>
    </row>
    <row r="31" spans="1:7" x14ac:dyDescent="0.2">
      <c r="A31" s="2" t="s">
        <v>108</v>
      </c>
      <c r="B31" s="2" t="s">
        <v>44</v>
      </c>
      <c r="C31" s="2">
        <v>4.2365000000000002E-4</v>
      </c>
      <c r="D31" s="2">
        <f t="shared" si="10"/>
        <v>3.8128500000000003E-4</v>
      </c>
      <c r="E31" s="2">
        <f t="shared" si="11"/>
        <v>4.6601500000000007E-4</v>
      </c>
      <c r="F31" s="3" t="s">
        <v>1</v>
      </c>
      <c r="G31" s="2" t="s">
        <v>0</v>
      </c>
    </row>
    <row r="32" spans="1:7" x14ac:dyDescent="0.2">
      <c r="A32" s="2" t="s">
        <v>129</v>
      </c>
      <c r="B32" s="2" t="s">
        <v>44</v>
      </c>
      <c r="C32" s="2">
        <v>76.453999999999994</v>
      </c>
      <c r="D32" s="2">
        <f t="shared" si="10"/>
        <v>68.808599999999998</v>
      </c>
      <c r="E32" s="2">
        <f t="shared" si="11"/>
        <v>84.099400000000003</v>
      </c>
      <c r="F32" s="3" t="s">
        <v>1</v>
      </c>
      <c r="G32" s="2" t="s">
        <v>0</v>
      </c>
    </row>
    <row r="33" spans="1:7" x14ac:dyDescent="0.2">
      <c r="A33" s="2" t="s">
        <v>109</v>
      </c>
      <c r="B33" s="2" t="s">
        <v>44</v>
      </c>
      <c r="C33" s="2">
        <v>2.285E-4</v>
      </c>
      <c r="D33" s="2">
        <f t="shared" si="10"/>
        <v>2.0565000000000001E-4</v>
      </c>
      <c r="E33" s="2">
        <f t="shared" si="11"/>
        <v>2.5135000000000001E-4</v>
      </c>
      <c r="F33" s="3" t="s">
        <v>1</v>
      </c>
      <c r="G33" s="2" t="s">
        <v>0</v>
      </c>
    </row>
    <row r="34" spans="1:7" x14ac:dyDescent="0.2">
      <c r="A34" s="2" t="s">
        <v>110</v>
      </c>
      <c r="B34" s="2" t="s">
        <v>44</v>
      </c>
      <c r="C34" s="11">
        <v>6.1297999999999995E-5</v>
      </c>
      <c r="D34" s="2">
        <f t="shared" si="10"/>
        <v>5.5168199999999998E-5</v>
      </c>
      <c r="E34" s="2">
        <f t="shared" si="11"/>
        <v>6.7427800000000005E-5</v>
      </c>
      <c r="F34" s="3" t="s">
        <v>1</v>
      </c>
      <c r="G34" s="2" t="s">
        <v>0</v>
      </c>
    </row>
    <row r="35" spans="1:7" x14ac:dyDescent="0.2">
      <c r="A35" s="2" t="s">
        <v>122</v>
      </c>
      <c r="B35" s="2" t="s">
        <v>44</v>
      </c>
      <c r="C35" s="11">
        <v>5.9869999999999996E-6</v>
      </c>
      <c r="D35" s="2">
        <f t="shared" si="10"/>
        <v>5.3882999999999997E-6</v>
      </c>
      <c r="E35" s="2">
        <f t="shared" si="11"/>
        <v>6.5857000000000003E-6</v>
      </c>
      <c r="F35" s="3" t="s">
        <v>1</v>
      </c>
      <c r="G35" s="2" t="s">
        <v>0</v>
      </c>
    </row>
    <row r="36" spans="1:7" x14ac:dyDescent="0.2">
      <c r="A36" s="2" t="s">
        <v>90</v>
      </c>
      <c r="B36" s="2" t="s">
        <v>44</v>
      </c>
      <c r="C36" s="11">
        <v>7.4703999999999997E-6</v>
      </c>
      <c r="D36" s="2">
        <f t="shared" si="10"/>
        <v>6.7233599999999996E-6</v>
      </c>
      <c r="E36" s="2">
        <f t="shared" si="11"/>
        <v>8.2174399999999997E-6</v>
      </c>
      <c r="F36" s="3" t="s">
        <v>1</v>
      </c>
      <c r="G36" s="2" t="s">
        <v>0</v>
      </c>
    </row>
    <row r="37" spans="1:7" x14ac:dyDescent="0.2">
      <c r="A37" s="2" t="s">
        <v>123</v>
      </c>
      <c r="B37" s="2" t="s">
        <v>44</v>
      </c>
      <c r="C37" s="11">
        <v>1.5750999999999999E-5</v>
      </c>
      <c r="D37" s="2">
        <f t="shared" si="10"/>
        <v>1.4175899999999999E-5</v>
      </c>
      <c r="E37" s="2">
        <f t="shared" si="11"/>
        <v>1.73261E-5</v>
      </c>
      <c r="F37" s="3" t="s">
        <v>1</v>
      </c>
      <c r="G37" s="2" t="s">
        <v>0</v>
      </c>
    </row>
    <row r="38" spans="1:7" x14ac:dyDescent="0.2">
      <c r="A38" s="2" t="s">
        <v>39</v>
      </c>
      <c r="B38" s="2" t="s">
        <v>44</v>
      </c>
      <c r="C38" s="11">
        <v>9.4215000000000005E-5</v>
      </c>
      <c r="D38" s="2">
        <f t="shared" si="10"/>
        <v>8.4793500000000007E-5</v>
      </c>
      <c r="E38" s="2">
        <f t="shared" si="11"/>
        <v>1.0363650000000002E-4</v>
      </c>
      <c r="F38" s="3" t="s">
        <v>1</v>
      </c>
      <c r="G38" s="2" t="s">
        <v>0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E960-887B-1E49-80AF-9619BDC224B9}">
  <dimension ref="A1:G38"/>
  <sheetViews>
    <sheetView workbookViewId="0">
      <selection activeCell="I23" sqref="I23"/>
    </sheetView>
  </sheetViews>
  <sheetFormatPr baseColWidth="10" defaultRowHeight="16" x14ac:dyDescent="0.2"/>
  <cols>
    <col min="1" max="1" width="23.83203125" bestFit="1" customWidth="1"/>
    <col min="2" max="2" width="15" bestFit="1" customWidth="1"/>
    <col min="6" max="6" width="11.83203125" bestFit="1" customWidth="1"/>
    <col min="7" max="7" width="11.66406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65</v>
      </c>
      <c r="B2" s="2" t="s">
        <v>11</v>
      </c>
      <c r="C2" s="2">
        <v>1.26</v>
      </c>
      <c r="D2" s="2">
        <f t="shared" ref="D2:D3" si="0">C2*0.9</f>
        <v>1.1340000000000001</v>
      </c>
      <c r="E2" s="2">
        <f t="shared" ref="E2:E3" si="1">C2*1.1</f>
        <v>1.3860000000000001</v>
      </c>
      <c r="F2" s="4" t="s">
        <v>1</v>
      </c>
      <c r="G2" s="5" t="s">
        <v>0</v>
      </c>
    </row>
    <row r="3" spans="1:7" x14ac:dyDescent="0.2">
      <c r="A3" s="2" t="s">
        <v>71</v>
      </c>
      <c r="B3" s="2" t="s">
        <v>11</v>
      </c>
      <c r="C3" s="2">
        <f>282.37/2500</f>
        <v>0.11294800000000001</v>
      </c>
      <c r="D3" s="2">
        <f t="shared" si="0"/>
        <v>0.10165320000000001</v>
      </c>
      <c r="E3" s="2">
        <f t="shared" si="1"/>
        <v>0.12424280000000001</v>
      </c>
      <c r="F3" s="4" t="s">
        <v>1</v>
      </c>
      <c r="G3" s="5" t="s">
        <v>0</v>
      </c>
    </row>
    <row r="4" spans="1:7" x14ac:dyDescent="0.2">
      <c r="A4" s="2" t="s">
        <v>27</v>
      </c>
      <c r="B4" s="2" t="s">
        <v>11</v>
      </c>
      <c r="C4" s="2">
        <f>12534/300</f>
        <v>41.78</v>
      </c>
      <c r="D4" s="2">
        <f t="shared" ref="D4:D14" si="2">C4*0.9</f>
        <v>37.602000000000004</v>
      </c>
      <c r="E4" s="2">
        <f t="shared" ref="E4:E14" si="3">C4*1.1</f>
        <v>45.958000000000006</v>
      </c>
      <c r="F4" s="4" t="s">
        <v>1</v>
      </c>
      <c r="G4" s="5" t="s">
        <v>0</v>
      </c>
    </row>
    <row r="5" spans="1:7" x14ac:dyDescent="0.2">
      <c r="A5" s="2" t="s">
        <v>28</v>
      </c>
      <c r="B5" s="2" t="s">
        <v>11</v>
      </c>
      <c r="C5" s="2">
        <v>4.8562000000000003</v>
      </c>
      <c r="D5" s="2">
        <f t="shared" si="2"/>
        <v>4.3705800000000004</v>
      </c>
      <c r="E5" s="2">
        <f t="shared" si="3"/>
        <v>5.3418200000000011</v>
      </c>
      <c r="F5" s="4" t="s">
        <v>1</v>
      </c>
      <c r="G5" s="5" t="s">
        <v>0</v>
      </c>
    </row>
    <row r="6" spans="1:7" x14ac:dyDescent="0.2">
      <c r="A6" s="2" t="s">
        <v>29</v>
      </c>
      <c r="B6" s="2" t="s">
        <v>11</v>
      </c>
      <c r="C6" s="2">
        <v>2.0028000000000001</v>
      </c>
      <c r="D6" s="2">
        <f t="shared" si="2"/>
        <v>1.8025200000000001</v>
      </c>
      <c r="E6" s="2">
        <f t="shared" si="3"/>
        <v>2.2030800000000004</v>
      </c>
      <c r="F6" s="3" t="s">
        <v>1</v>
      </c>
      <c r="G6" s="2" t="s">
        <v>0</v>
      </c>
    </row>
    <row r="7" spans="1:7" x14ac:dyDescent="0.2">
      <c r="A7" s="2" t="s">
        <v>70</v>
      </c>
      <c r="B7" s="2" t="s">
        <v>11</v>
      </c>
      <c r="C7" s="2">
        <v>2.169</v>
      </c>
      <c r="D7" s="2">
        <f t="shared" ref="D7" si="4">C7*0.9</f>
        <v>1.9521000000000002</v>
      </c>
      <c r="E7" s="2">
        <f t="shared" ref="E7" si="5">C7*1.1</f>
        <v>2.3859000000000004</v>
      </c>
      <c r="F7" s="3" t="s">
        <v>1</v>
      </c>
      <c r="G7" s="2" t="s">
        <v>0</v>
      </c>
    </row>
    <row r="8" spans="1:7" x14ac:dyDescent="0.2">
      <c r="A8" s="2" t="s">
        <v>30</v>
      </c>
      <c r="B8" s="2" t="s">
        <v>11</v>
      </c>
      <c r="C8" s="2">
        <v>2.2663000000000002</v>
      </c>
      <c r="D8" s="2">
        <f t="shared" si="2"/>
        <v>2.0396700000000001</v>
      </c>
      <c r="E8" s="2">
        <f t="shared" si="3"/>
        <v>2.4929300000000003</v>
      </c>
      <c r="F8" s="3" t="s">
        <v>1</v>
      </c>
      <c r="G8" s="2" t="s">
        <v>0</v>
      </c>
    </row>
    <row r="9" spans="1:7" x14ac:dyDescent="0.2">
      <c r="A9" s="2" t="s">
        <v>31</v>
      </c>
      <c r="B9" s="2" t="s">
        <v>11</v>
      </c>
      <c r="C9" s="2">
        <f>0.15837/20+19/20*C24</f>
        <v>8.2056660000000003E-3</v>
      </c>
      <c r="D9" s="2">
        <f t="shared" si="2"/>
        <v>7.3850994000000001E-3</v>
      </c>
      <c r="E9" s="2">
        <f t="shared" si="3"/>
        <v>9.0262326000000014E-3</v>
      </c>
      <c r="F9" s="3" t="s">
        <v>1</v>
      </c>
      <c r="G9" s="2" t="s">
        <v>0</v>
      </c>
    </row>
    <row r="10" spans="1:7" x14ac:dyDescent="0.2">
      <c r="A10" s="2" t="s">
        <v>32</v>
      </c>
      <c r="B10" s="2" t="s">
        <v>11</v>
      </c>
      <c r="C10" s="2">
        <v>2.8778999999999999</v>
      </c>
      <c r="D10" s="2">
        <f t="shared" si="2"/>
        <v>2.5901100000000001</v>
      </c>
      <c r="E10" s="2">
        <f t="shared" si="3"/>
        <v>3.1656900000000001</v>
      </c>
      <c r="F10" s="3" t="s">
        <v>1</v>
      </c>
      <c r="G10" s="2" t="s">
        <v>0</v>
      </c>
    </row>
    <row r="11" spans="1:7" x14ac:dyDescent="0.2">
      <c r="A11" s="2" t="s">
        <v>33</v>
      </c>
      <c r="B11" s="2" t="s">
        <v>11</v>
      </c>
      <c r="C11" s="2">
        <v>1.5624</v>
      </c>
      <c r="D11" s="2">
        <f t="shared" si="2"/>
        <v>1.4061600000000001</v>
      </c>
      <c r="E11" s="2">
        <f t="shared" si="3"/>
        <v>1.7186400000000002</v>
      </c>
      <c r="F11" s="3" t="s">
        <v>1</v>
      </c>
      <c r="G11" s="2" t="s">
        <v>0</v>
      </c>
    </row>
    <row r="12" spans="1:7" x14ac:dyDescent="0.2">
      <c r="A12" s="2" t="s">
        <v>34</v>
      </c>
      <c r="B12" s="2" t="s">
        <v>11</v>
      </c>
      <c r="C12" s="2">
        <v>1.1606000000000001</v>
      </c>
      <c r="D12" s="2">
        <f t="shared" si="2"/>
        <v>1.04454</v>
      </c>
      <c r="E12" s="2">
        <f t="shared" si="3"/>
        <v>1.2766600000000001</v>
      </c>
      <c r="F12" s="3" t="s">
        <v>1</v>
      </c>
      <c r="G12" s="2" t="s">
        <v>0</v>
      </c>
    </row>
    <row r="13" spans="1:7" x14ac:dyDescent="0.2">
      <c r="A13" s="2" t="s">
        <v>35</v>
      </c>
      <c r="B13" s="2" t="s">
        <v>11</v>
      </c>
      <c r="C13" s="2">
        <v>1.2514000000000001</v>
      </c>
      <c r="D13" s="2">
        <f t="shared" si="2"/>
        <v>1.12626</v>
      </c>
      <c r="E13" s="2">
        <f t="shared" si="3"/>
        <v>1.3765400000000001</v>
      </c>
      <c r="F13" s="3" t="s">
        <v>1</v>
      </c>
      <c r="G13" s="2" t="s">
        <v>0</v>
      </c>
    </row>
    <row r="14" spans="1:7" x14ac:dyDescent="0.2">
      <c r="A14" s="2" t="s">
        <v>36</v>
      </c>
      <c r="B14" s="2" t="s">
        <v>11</v>
      </c>
      <c r="C14" s="2">
        <v>1.5249999999999999</v>
      </c>
      <c r="D14" s="2">
        <f t="shared" si="2"/>
        <v>1.3725000000000001</v>
      </c>
      <c r="E14" s="2">
        <f t="shared" si="3"/>
        <v>1.6775</v>
      </c>
      <c r="F14" s="4" t="s">
        <v>1</v>
      </c>
      <c r="G14" s="5" t="s">
        <v>0</v>
      </c>
    </row>
    <row r="15" spans="1:7" x14ac:dyDescent="0.2">
      <c r="A15" s="2" t="s">
        <v>83</v>
      </c>
      <c r="B15" s="2" t="s">
        <v>11</v>
      </c>
      <c r="C15" s="2">
        <f>0.89786*115.03/245.41</f>
        <v>0.42085015199054648</v>
      </c>
      <c r="D15" s="2">
        <f t="shared" ref="D15:D16" si="6">C15*0.9</f>
        <v>0.37876513679149182</v>
      </c>
      <c r="E15" s="2">
        <f t="shared" ref="E15:E16" si="7">C15*1.1</f>
        <v>0.46293516718960115</v>
      </c>
      <c r="F15" s="4" t="s">
        <v>1</v>
      </c>
      <c r="G15" s="5" t="s">
        <v>0</v>
      </c>
    </row>
    <row r="16" spans="1:7" x14ac:dyDescent="0.2">
      <c r="A16" s="2" t="s">
        <v>84</v>
      </c>
      <c r="B16" s="2" t="s">
        <v>11</v>
      </c>
      <c r="C16" s="2">
        <v>1.2499</v>
      </c>
      <c r="D16" s="2">
        <f t="shared" si="6"/>
        <v>1.1249100000000001</v>
      </c>
      <c r="E16" s="2">
        <f t="shared" si="7"/>
        <v>1.3748900000000002</v>
      </c>
      <c r="F16" s="4" t="s">
        <v>1</v>
      </c>
      <c r="G16" s="5" t="s">
        <v>0</v>
      </c>
    </row>
    <row r="17" spans="1:7" x14ac:dyDescent="0.2">
      <c r="A17" s="2" t="s">
        <v>90</v>
      </c>
      <c r="B17" s="2" t="s">
        <v>11</v>
      </c>
      <c r="C17" s="2">
        <f>0.43913+1/19*44</f>
        <v>2.7549194736842106</v>
      </c>
      <c r="D17" s="2">
        <f>C17*0.9</f>
        <v>2.4794275263157894</v>
      </c>
      <c r="E17" s="2">
        <f>C17*1.1</f>
        <v>3.0304114210526318</v>
      </c>
      <c r="F17" s="3" t="s">
        <v>1</v>
      </c>
      <c r="G17" s="2" t="s">
        <v>0</v>
      </c>
    </row>
    <row r="18" spans="1:7" x14ac:dyDescent="0.2">
      <c r="A18" s="2" t="s">
        <v>39</v>
      </c>
      <c r="B18" s="2" t="s">
        <v>11</v>
      </c>
      <c r="C18" s="2">
        <v>0.67847999999999997</v>
      </c>
      <c r="D18" s="2">
        <f>C18*0.9</f>
        <v>0.61063199999999995</v>
      </c>
      <c r="E18" s="2">
        <f>C18*1.1</f>
        <v>0.74632799999999999</v>
      </c>
      <c r="F18" s="3" t="s">
        <v>1</v>
      </c>
      <c r="G18" s="2" t="s">
        <v>0</v>
      </c>
    </row>
    <row r="19" spans="1:7" x14ac:dyDescent="0.2">
      <c r="A19" s="2" t="s">
        <v>107</v>
      </c>
      <c r="B19" s="2" t="s">
        <v>11</v>
      </c>
      <c r="C19" s="2">
        <v>0.47693999999999998</v>
      </c>
      <c r="D19" s="2">
        <f>C19*0.9</f>
        <v>0.42924599999999996</v>
      </c>
      <c r="E19" s="2">
        <f>C19*1.1</f>
        <v>0.52463400000000004</v>
      </c>
      <c r="F19" s="3" t="s">
        <v>1</v>
      </c>
      <c r="G19" s="2" t="s">
        <v>0</v>
      </c>
    </row>
    <row r="20" spans="1:7" x14ac:dyDescent="0.2">
      <c r="A20" s="2" t="s">
        <v>37</v>
      </c>
      <c r="B20" s="2" t="s">
        <v>11</v>
      </c>
      <c r="C20" s="2">
        <f>0.147*C37+0.1222*C35+87.3/3600*C38+2.3704*C37+0.312*C36+(1000-1000*7.8/100/101.07*207.43)/1000*C31+0.9454*C24+1000*7.8/100/1000*C32/35335*2665+1000*7.8/100/101.07*(207.43-101.07)/1000*C33+0.487*1000*7.8/100/101.07*207.43/1000*C38+2.59/1000*C34</f>
        <v>484.7862509286262</v>
      </c>
      <c r="D20" s="2">
        <f>C20*0.9</f>
        <v>436.30762583576359</v>
      </c>
      <c r="E20" s="2">
        <f>C20*1.1</f>
        <v>533.26487602148882</v>
      </c>
      <c r="F20" s="3" t="s">
        <v>1</v>
      </c>
      <c r="G20" s="2" t="s">
        <v>0</v>
      </c>
    </row>
    <row r="21" spans="1:7" x14ac:dyDescent="0.2">
      <c r="A21" s="2" t="s">
        <v>38</v>
      </c>
      <c r="B21" s="2" t="s">
        <v>11</v>
      </c>
      <c r="C21" s="2">
        <f>0.4168*C36+3.358*C35+0.206*C37+1.6569*C37+0.4856*C36+0.0149*C38+1.2669*C36+0.7722*C23+0.6177*C24+0.0349*C25+0.136*C26+0.0834*C27+0.0973*C28+0.0088*C29+1.301*C30</f>
        <v>6.3758782313560003</v>
      </c>
      <c r="D21" s="2">
        <f>C21*0.9</f>
        <v>5.7382904082204007</v>
      </c>
      <c r="E21" s="2">
        <f>C21*1.1</f>
        <v>7.0134660544916008</v>
      </c>
      <c r="F21" s="3" t="s">
        <v>1</v>
      </c>
      <c r="G21" s="2" t="s">
        <v>0</v>
      </c>
    </row>
    <row r="23" spans="1:7" x14ac:dyDescent="0.2">
      <c r="A23" s="2" t="s">
        <v>100</v>
      </c>
      <c r="B23" s="2" t="s">
        <v>11</v>
      </c>
      <c r="C23" s="2">
        <v>1.5975999999999999</v>
      </c>
      <c r="D23" s="2">
        <f t="shared" ref="D23:D37" si="8">C23*0.9</f>
        <v>1.43784</v>
      </c>
      <c r="E23" s="2">
        <f t="shared" ref="E23:E37" si="9">C23*1.1</f>
        <v>1.75736</v>
      </c>
      <c r="F23" s="3" t="s">
        <v>1</v>
      </c>
      <c r="G23" s="2" t="s">
        <v>0</v>
      </c>
    </row>
    <row r="24" spans="1:7" x14ac:dyDescent="0.2">
      <c r="A24" s="2" t="s">
        <v>101</v>
      </c>
      <c r="B24" s="2" t="s">
        <v>11</v>
      </c>
      <c r="C24" s="2">
        <v>3.0227999999999999E-4</v>
      </c>
      <c r="D24" s="2">
        <f t="shared" si="8"/>
        <v>2.72052E-4</v>
      </c>
      <c r="E24" s="2">
        <f t="shared" si="9"/>
        <v>3.3250800000000002E-4</v>
      </c>
      <c r="F24" s="3" t="s">
        <v>1</v>
      </c>
      <c r="G24" s="2" t="s">
        <v>0</v>
      </c>
    </row>
    <row r="25" spans="1:7" x14ac:dyDescent="0.2">
      <c r="A25" s="2" t="s">
        <v>102</v>
      </c>
      <c r="B25" s="2" t="s">
        <v>11</v>
      </c>
      <c r="C25" s="2">
        <v>1.3290999999999999</v>
      </c>
      <c r="D25" s="2">
        <f t="shared" si="8"/>
        <v>1.1961900000000001</v>
      </c>
      <c r="E25" s="2">
        <f t="shared" si="9"/>
        <v>1.46201</v>
      </c>
      <c r="F25" s="3" t="s">
        <v>1</v>
      </c>
      <c r="G25" s="2" t="s">
        <v>0</v>
      </c>
    </row>
    <row r="26" spans="1:7" x14ac:dyDescent="0.2">
      <c r="A26" s="2" t="s">
        <v>103</v>
      </c>
      <c r="B26" s="2" t="s">
        <v>11</v>
      </c>
      <c r="C26" s="2">
        <v>7.9394999999999998</v>
      </c>
      <c r="D26" s="2">
        <f t="shared" si="8"/>
        <v>7.1455500000000001</v>
      </c>
      <c r="E26" s="2">
        <f t="shared" si="9"/>
        <v>8.7334500000000013</v>
      </c>
      <c r="F26" s="3" t="s">
        <v>1</v>
      </c>
      <c r="G26" s="2" t="s">
        <v>0</v>
      </c>
    </row>
    <row r="27" spans="1:7" x14ac:dyDescent="0.2">
      <c r="A27" s="2" t="s">
        <v>104</v>
      </c>
      <c r="B27" s="2" t="s">
        <v>11</v>
      </c>
      <c r="C27" s="2">
        <v>31.053000000000001</v>
      </c>
      <c r="D27" s="2">
        <f t="shared" si="8"/>
        <v>27.947700000000001</v>
      </c>
      <c r="E27" s="2">
        <f t="shared" si="9"/>
        <v>34.158300000000004</v>
      </c>
      <c r="F27" s="3" t="s">
        <v>1</v>
      </c>
      <c r="G27" s="2" t="s">
        <v>0</v>
      </c>
    </row>
    <row r="28" spans="1:7" x14ac:dyDescent="0.2">
      <c r="A28" s="2" t="s">
        <v>105</v>
      </c>
      <c r="B28" s="2" t="s">
        <v>11</v>
      </c>
      <c r="C28" s="2">
        <v>0.12414</v>
      </c>
      <c r="D28" s="2">
        <f t="shared" si="8"/>
        <v>0.11172600000000001</v>
      </c>
      <c r="E28" s="2">
        <f t="shared" si="9"/>
        <v>0.13655400000000001</v>
      </c>
      <c r="F28" s="3" t="s">
        <v>1</v>
      </c>
      <c r="G28" s="2" t="s">
        <v>0</v>
      </c>
    </row>
    <row r="29" spans="1:7" x14ac:dyDescent="0.2">
      <c r="A29" s="2" t="s">
        <v>106</v>
      </c>
      <c r="B29" s="2" t="s">
        <v>11</v>
      </c>
      <c r="C29" s="2">
        <v>1.5624</v>
      </c>
      <c r="D29" s="2">
        <f t="shared" si="8"/>
        <v>1.4061600000000001</v>
      </c>
      <c r="E29" s="2">
        <f t="shared" si="9"/>
        <v>1.7186400000000002</v>
      </c>
      <c r="F29" s="3" t="s">
        <v>1</v>
      </c>
      <c r="G29" s="2" t="s">
        <v>0</v>
      </c>
    </row>
    <row r="30" spans="1:7" x14ac:dyDescent="0.2">
      <c r="A30" s="2" t="s">
        <v>107</v>
      </c>
      <c r="B30" s="2" t="s">
        <v>11</v>
      </c>
      <c r="C30" s="2">
        <v>0.47693999999999998</v>
      </c>
      <c r="D30" s="2">
        <f t="shared" si="8"/>
        <v>0.42924599999999996</v>
      </c>
      <c r="E30" s="2">
        <f t="shared" si="9"/>
        <v>0.52463400000000004</v>
      </c>
      <c r="F30" s="3" t="s">
        <v>1</v>
      </c>
      <c r="G30" s="2" t="s">
        <v>0</v>
      </c>
    </row>
    <row r="31" spans="1:7" x14ac:dyDescent="0.2">
      <c r="A31" s="2" t="s">
        <v>108</v>
      </c>
      <c r="B31" s="2" t="s">
        <v>11</v>
      </c>
      <c r="C31" s="2">
        <v>2.9998</v>
      </c>
      <c r="D31" s="2">
        <f t="shared" si="8"/>
        <v>2.6998199999999999</v>
      </c>
      <c r="E31" s="2">
        <f t="shared" si="9"/>
        <v>3.2997800000000002</v>
      </c>
      <c r="F31" s="3" t="s">
        <v>1</v>
      </c>
      <c r="G31" s="2" t="s">
        <v>0</v>
      </c>
    </row>
    <row r="32" spans="1:7" x14ac:dyDescent="0.2">
      <c r="A32" s="2" t="s">
        <v>129</v>
      </c>
      <c r="B32" s="2" t="s">
        <v>11</v>
      </c>
      <c r="C32" s="2">
        <v>81893</v>
      </c>
      <c r="D32" s="2">
        <f t="shared" si="8"/>
        <v>73703.7</v>
      </c>
      <c r="E32" s="2">
        <f t="shared" si="9"/>
        <v>90082.3</v>
      </c>
      <c r="F32" s="3" t="s">
        <v>1</v>
      </c>
      <c r="G32" s="2" t="s">
        <v>0</v>
      </c>
    </row>
    <row r="33" spans="1:7" x14ac:dyDescent="0.2">
      <c r="A33" s="2" t="s">
        <v>109</v>
      </c>
      <c r="B33" s="2" t="s">
        <v>11</v>
      </c>
      <c r="C33" s="2">
        <v>0.94164000000000003</v>
      </c>
      <c r="D33" s="2">
        <f t="shared" si="8"/>
        <v>0.84747600000000001</v>
      </c>
      <c r="E33" s="2">
        <f t="shared" si="9"/>
        <v>1.0358040000000002</v>
      </c>
      <c r="F33" s="3" t="s">
        <v>1</v>
      </c>
      <c r="G33" s="2" t="s">
        <v>0</v>
      </c>
    </row>
    <row r="34" spans="1:7" x14ac:dyDescent="0.2">
      <c r="A34" s="2" t="s">
        <v>110</v>
      </c>
      <c r="B34" s="2" t="s">
        <v>11</v>
      </c>
      <c r="C34" s="2">
        <v>0.41977999999999999</v>
      </c>
      <c r="D34" s="2">
        <f t="shared" si="8"/>
        <v>0.37780199999999997</v>
      </c>
      <c r="E34" s="2">
        <f t="shared" si="9"/>
        <v>0.461758</v>
      </c>
      <c r="F34" s="3" t="s">
        <v>1</v>
      </c>
      <c r="G34" s="2" t="s">
        <v>0</v>
      </c>
    </row>
    <row r="35" spans="1:7" x14ac:dyDescent="0.2">
      <c r="A35" s="2" t="s">
        <v>122</v>
      </c>
      <c r="B35" s="2" t="s">
        <v>11</v>
      </c>
      <c r="C35" s="2">
        <v>6.6032999999999994E-2</v>
      </c>
      <c r="D35" s="2">
        <f t="shared" si="8"/>
        <v>5.9429699999999995E-2</v>
      </c>
      <c r="E35" s="2">
        <f t="shared" si="9"/>
        <v>7.2636300000000001E-2</v>
      </c>
      <c r="F35" s="3" t="s">
        <v>1</v>
      </c>
      <c r="G35" s="2" t="s">
        <v>0</v>
      </c>
    </row>
    <row r="36" spans="1:7" x14ac:dyDescent="0.2">
      <c r="A36" s="2" t="s">
        <v>90</v>
      </c>
      <c r="B36" s="2" t="s">
        <v>11</v>
      </c>
      <c r="C36" s="2">
        <v>0.14996999999999999</v>
      </c>
      <c r="D36" s="2">
        <f t="shared" si="8"/>
        <v>0.13497300000000001</v>
      </c>
      <c r="E36" s="2">
        <f t="shared" si="9"/>
        <v>0.164967</v>
      </c>
      <c r="F36" s="3" t="s">
        <v>1</v>
      </c>
      <c r="G36" s="2" t="s">
        <v>0</v>
      </c>
    </row>
    <row r="37" spans="1:7" x14ac:dyDescent="0.2">
      <c r="A37" s="2" t="s">
        <v>123</v>
      </c>
      <c r="B37" s="2" t="s">
        <v>11</v>
      </c>
      <c r="C37" s="2">
        <v>0.11946</v>
      </c>
      <c r="D37" s="2">
        <f t="shared" si="8"/>
        <v>0.107514</v>
      </c>
      <c r="E37" s="2">
        <f t="shared" si="9"/>
        <v>0.131406</v>
      </c>
      <c r="F37" s="3" t="s">
        <v>1</v>
      </c>
      <c r="G37" s="2" t="s">
        <v>0</v>
      </c>
    </row>
    <row r="38" spans="1:7" x14ac:dyDescent="0.2">
      <c r="A38" s="2" t="s">
        <v>39</v>
      </c>
      <c r="B38" s="2" t="s">
        <v>11</v>
      </c>
      <c r="C38" s="2">
        <v>0.67847999999999997</v>
      </c>
      <c r="D38" s="2">
        <f>C38*0.9</f>
        <v>0.61063199999999995</v>
      </c>
      <c r="E38" s="2">
        <f>C38*1.1</f>
        <v>0.74632799999999999</v>
      </c>
      <c r="F38" s="3" t="s">
        <v>1</v>
      </c>
      <c r="G38" s="2" t="s">
        <v>0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089A2-98D2-704F-AF44-C2497A6C7B0D}">
  <dimension ref="A1:G38"/>
  <sheetViews>
    <sheetView topLeftCell="A5" workbookViewId="0">
      <selection activeCell="K40" sqref="K40"/>
    </sheetView>
  </sheetViews>
  <sheetFormatPr baseColWidth="10" defaultRowHeight="16" x14ac:dyDescent="0.2"/>
  <cols>
    <col min="1" max="1" width="23.83203125" bestFit="1" customWidth="1"/>
    <col min="2" max="2" width="15" bestFit="1" customWidth="1"/>
    <col min="3" max="3" width="14.1640625" bestFit="1" customWidth="1"/>
    <col min="6" max="6" width="11.83203125" bestFit="1" customWidth="1"/>
    <col min="7" max="7" width="11.66406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65</v>
      </c>
      <c r="B2" s="2" t="s">
        <v>45</v>
      </c>
      <c r="C2" s="2">
        <f>1.26/74049000*4.2208</f>
        <v>7.1820119110318827E-8</v>
      </c>
      <c r="D2" s="2">
        <f t="shared" ref="D2:D3" si="0">C2*0.9</f>
        <v>6.4638107199286951E-8</v>
      </c>
      <c r="E2" s="2">
        <f t="shared" ref="E2:E3" si="1">C2*1.1</f>
        <v>7.9002131021350716E-8</v>
      </c>
      <c r="F2" s="4" t="s">
        <v>1</v>
      </c>
      <c r="G2" s="5" t="s">
        <v>0</v>
      </c>
    </row>
    <row r="3" spans="1:7" x14ac:dyDescent="0.2">
      <c r="A3" s="2" t="s">
        <v>71</v>
      </c>
      <c r="B3" s="2" t="s">
        <v>45</v>
      </c>
      <c r="C3" s="11">
        <f>0.000015044/2500</f>
        <v>6.0176000000000004E-9</v>
      </c>
      <c r="D3" s="2">
        <f t="shared" si="0"/>
        <v>5.4158400000000006E-9</v>
      </c>
      <c r="E3" s="2">
        <f t="shared" si="1"/>
        <v>6.619360000000001E-9</v>
      </c>
      <c r="F3" s="4" t="s">
        <v>1</v>
      </c>
      <c r="G3" s="5" t="s">
        <v>0</v>
      </c>
    </row>
    <row r="4" spans="1:7" x14ac:dyDescent="0.2">
      <c r="A4" s="2" t="s">
        <v>27</v>
      </c>
      <c r="B4" s="2" t="s">
        <v>45</v>
      </c>
      <c r="C4" s="2">
        <f>0.00077645/300</f>
        <v>2.5881666666666666E-6</v>
      </c>
      <c r="D4" s="2">
        <f t="shared" ref="D4:D14" si="2">C4*0.9</f>
        <v>2.32935E-6</v>
      </c>
      <c r="E4" s="2">
        <f t="shared" ref="E4:E14" si="3">C4*1.1</f>
        <v>2.8469833333333337E-6</v>
      </c>
      <c r="F4" s="4" t="s">
        <v>1</v>
      </c>
      <c r="G4" s="5" t="s">
        <v>0</v>
      </c>
    </row>
    <row r="5" spans="1:7" x14ac:dyDescent="0.2">
      <c r="A5" s="2" t="s">
        <v>28</v>
      </c>
      <c r="B5" s="2" t="s">
        <v>45</v>
      </c>
      <c r="C5" s="11">
        <v>1.9641E-7</v>
      </c>
      <c r="D5" s="2">
        <f t="shared" si="2"/>
        <v>1.7676900000000001E-7</v>
      </c>
      <c r="E5" s="2">
        <f t="shared" si="3"/>
        <v>2.1605100000000001E-7</v>
      </c>
      <c r="F5" s="4" t="s">
        <v>1</v>
      </c>
      <c r="G5" s="5" t="s">
        <v>0</v>
      </c>
    </row>
    <row r="6" spans="1:7" x14ac:dyDescent="0.2">
      <c r="A6" s="2" t="s">
        <v>29</v>
      </c>
      <c r="B6" s="2" t="s">
        <v>45</v>
      </c>
      <c r="C6" s="11">
        <v>8.7602999999999994E-8</v>
      </c>
      <c r="D6" s="2">
        <f t="shared" si="2"/>
        <v>7.8842699999999997E-8</v>
      </c>
      <c r="E6" s="2">
        <f t="shared" si="3"/>
        <v>9.6363300000000004E-8</v>
      </c>
      <c r="F6" s="3" t="s">
        <v>1</v>
      </c>
      <c r="G6" s="2" t="s">
        <v>0</v>
      </c>
    </row>
    <row r="7" spans="1:7" x14ac:dyDescent="0.2">
      <c r="A7" s="2" t="s">
        <v>70</v>
      </c>
      <c r="B7" s="2" t="s">
        <v>45</v>
      </c>
      <c r="C7" s="11">
        <v>1.0173E-7</v>
      </c>
      <c r="D7" s="2">
        <f t="shared" ref="D7" si="4">C7*0.9</f>
        <v>9.1557000000000004E-8</v>
      </c>
      <c r="E7" s="2">
        <f t="shared" ref="E7" si="5">C7*1.1</f>
        <v>1.1190300000000001E-7</v>
      </c>
      <c r="F7" s="3" t="s">
        <v>1</v>
      </c>
      <c r="G7" s="2" t="s">
        <v>0</v>
      </c>
    </row>
    <row r="8" spans="1:7" x14ac:dyDescent="0.2">
      <c r="A8" s="2" t="s">
        <v>30</v>
      </c>
      <c r="B8" s="2" t="s">
        <v>45</v>
      </c>
      <c r="C8" s="11">
        <v>2.5540999999999998E-7</v>
      </c>
      <c r="D8" s="2">
        <f t="shared" si="2"/>
        <v>2.2986899999999998E-7</v>
      </c>
      <c r="E8" s="2">
        <f t="shared" si="3"/>
        <v>2.8095100000000001E-7</v>
      </c>
      <c r="F8" s="3" t="s">
        <v>1</v>
      </c>
      <c r="G8" s="2" t="s">
        <v>0</v>
      </c>
    </row>
    <row r="9" spans="1:7" x14ac:dyDescent="0.2">
      <c r="A9" s="2" t="s">
        <v>31</v>
      </c>
      <c r="B9" s="2" t="s">
        <v>45</v>
      </c>
      <c r="C9" s="11">
        <f>0.000000014828/20+19/20*C24</f>
        <v>8.9441650000000002E-10</v>
      </c>
      <c r="D9" s="2">
        <f t="shared" si="2"/>
        <v>8.0497485000000006E-10</v>
      </c>
      <c r="E9" s="2">
        <f t="shared" si="3"/>
        <v>9.8385815000000019E-10</v>
      </c>
      <c r="F9" s="3" t="s">
        <v>1</v>
      </c>
      <c r="G9" s="2" t="s">
        <v>0</v>
      </c>
    </row>
    <row r="10" spans="1:7" x14ac:dyDescent="0.2">
      <c r="A10" s="2" t="s">
        <v>32</v>
      </c>
      <c r="B10" s="2" t="s">
        <v>45</v>
      </c>
      <c r="C10" s="11">
        <v>4.9409999999999997E-8</v>
      </c>
      <c r="D10" s="2">
        <f t="shared" si="2"/>
        <v>4.4468999999999999E-8</v>
      </c>
      <c r="E10" s="2">
        <f t="shared" si="3"/>
        <v>5.4351000000000001E-8</v>
      </c>
      <c r="F10" s="3" t="s">
        <v>1</v>
      </c>
      <c r="G10" s="2" t="s">
        <v>0</v>
      </c>
    </row>
    <row r="11" spans="1:7" x14ac:dyDescent="0.2">
      <c r="A11" s="2" t="s">
        <v>33</v>
      </c>
      <c r="B11" s="2" t="s">
        <v>45</v>
      </c>
      <c r="C11" s="11">
        <v>1.801E-6</v>
      </c>
      <c r="D11" s="2">
        <f t="shared" si="2"/>
        <v>1.6209E-6</v>
      </c>
      <c r="E11" s="2">
        <f t="shared" si="3"/>
        <v>1.9811E-6</v>
      </c>
      <c r="F11" s="3" t="s">
        <v>1</v>
      </c>
      <c r="G11" s="2" t="s">
        <v>0</v>
      </c>
    </row>
    <row r="12" spans="1:7" x14ac:dyDescent="0.2">
      <c r="A12" s="2" t="s">
        <v>34</v>
      </c>
      <c r="B12" s="2" t="s">
        <v>45</v>
      </c>
      <c r="C12" s="11">
        <v>1.5364000000000001E-8</v>
      </c>
      <c r="D12" s="2">
        <f t="shared" si="2"/>
        <v>1.3827600000000001E-8</v>
      </c>
      <c r="E12" s="2">
        <f t="shared" si="3"/>
        <v>1.6900400000000004E-8</v>
      </c>
      <c r="F12" s="3" t="s">
        <v>1</v>
      </c>
      <c r="G12" s="2" t="s">
        <v>0</v>
      </c>
    </row>
    <row r="13" spans="1:7" x14ac:dyDescent="0.2">
      <c r="A13" s="2" t="s">
        <v>35</v>
      </c>
      <c r="B13" s="2" t="s">
        <v>45</v>
      </c>
      <c r="C13" s="11">
        <v>7.8932000000000003E-7</v>
      </c>
      <c r="D13" s="2">
        <f t="shared" si="2"/>
        <v>7.1038799999999999E-7</v>
      </c>
      <c r="E13" s="2">
        <f t="shared" si="3"/>
        <v>8.6825200000000006E-7</v>
      </c>
      <c r="F13" s="3" t="s">
        <v>1</v>
      </c>
      <c r="G13" s="2" t="s">
        <v>0</v>
      </c>
    </row>
    <row r="14" spans="1:7" x14ac:dyDescent="0.2">
      <c r="A14" s="2" t="s">
        <v>36</v>
      </c>
      <c r="B14" s="2" t="s">
        <v>45</v>
      </c>
      <c r="C14" s="11">
        <v>9.2182999999999999E-8</v>
      </c>
      <c r="D14" s="2">
        <f t="shared" si="2"/>
        <v>8.2964699999999999E-8</v>
      </c>
      <c r="E14" s="2">
        <f t="shared" si="3"/>
        <v>1.0140130000000001E-7</v>
      </c>
      <c r="F14" s="4" t="s">
        <v>1</v>
      </c>
      <c r="G14" s="5" t="s">
        <v>0</v>
      </c>
    </row>
    <row r="15" spans="1:7" x14ac:dyDescent="0.2">
      <c r="A15" s="2" t="s">
        <v>83</v>
      </c>
      <c r="B15" s="2" t="s">
        <v>45</v>
      </c>
      <c r="C15" s="2">
        <f>0.000000048973*115.03/245.41</f>
        <v>2.2954908887168412E-8</v>
      </c>
      <c r="D15" s="2">
        <f t="shared" ref="D15:D16" si="6">C15*0.9</f>
        <v>2.0659417998451572E-8</v>
      </c>
      <c r="E15" s="2">
        <f t="shared" ref="E15:E16" si="7">C15*1.1</f>
        <v>2.5250399775885256E-8</v>
      </c>
      <c r="F15" s="4" t="s">
        <v>1</v>
      </c>
      <c r="G15" s="5" t="s">
        <v>0</v>
      </c>
    </row>
    <row r="16" spans="1:7" x14ac:dyDescent="0.2">
      <c r="A16" s="2" t="s">
        <v>84</v>
      </c>
      <c r="B16" s="2" t="s">
        <v>45</v>
      </c>
      <c r="C16" s="11">
        <v>6.1237999999999996E-8</v>
      </c>
      <c r="D16" s="2">
        <f t="shared" si="6"/>
        <v>5.5114199999999997E-8</v>
      </c>
      <c r="E16" s="2">
        <f t="shared" si="7"/>
        <v>6.7361800000000007E-8</v>
      </c>
      <c r="F16" s="4" t="s">
        <v>1</v>
      </c>
      <c r="G16" s="5" t="s">
        <v>0</v>
      </c>
    </row>
    <row r="17" spans="1:7" x14ac:dyDescent="0.2">
      <c r="A17" s="2" t="s">
        <v>90</v>
      </c>
      <c r="B17" s="2" t="s">
        <v>45</v>
      </c>
      <c r="C17" s="11">
        <v>2.1717999999999999E-7</v>
      </c>
      <c r="D17" s="2">
        <f>C17*0.9</f>
        <v>1.9546200000000001E-7</v>
      </c>
      <c r="E17" s="2">
        <f>C17*1.1</f>
        <v>2.38898E-7</v>
      </c>
      <c r="F17" s="3" t="s">
        <v>1</v>
      </c>
      <c r="G17" s="2" t="s">
        <v>0</v>
      </c>
    </row>
    <row r="18" spans="1:7" x14ac:dyDescent="0.2">
      <c r="A18" s="2" t="s">
        <v>39</v>
      </c>
      <c r="B18" s="2" t="s">
        <v>45</v>
      </c>
      <c r="C18" s="11">
        <v>2.0158000000000001E-8</v>
      </c>
      <c r="D18" s="2">
        <f>C18*0.9</f>
        <v>1.8142200000000002E-8</v>
      </c>
      <c r="E18" s="2">
        <f>C18*1.1</f>
        <v>2.2173800000000003E-8</v>
      </c>
      <c r="F18" s="3" t="s">
        <v>1</v>
      </c>
      <c r="G18" s="2" t="s">
        <v>0</v>
      </c>
    </row>
    <row r="19" spans="1:7" x14ac:dyDescent="0.2">
      <c r="A19" s="2" t="s">
        <v>107</v>
      </c>
      <c r="B19" s="2" t="s">
        <v>45</v>
      </c>
      <c r="C19" s="11">
        <v>6.4204E-7</v>
      </c>
      <c r="D19" s="2">
        <f t="shared" ref="D19" si="8">C19*0.9</f>
        <v>5.7783600000000004E-7</v>
      </c>
      <c r="E19" s="2">
        <f t="shared" ref="E19" si="9">C19*1.1</f>
        <v>7.0624400000000006E-7</v>
      </c>
      <c r="F19" s="3" t="s">
        <v>1</v>
      </c>
      <c r="G19" s="2" t="s">
        <v>0</v>
      </c>
    </row>
    <row r="20" spans="1:7" x14ac:dyDescent="0.2">
      <c r="A20" s="2" t="s">
        <v>37</v>
      </c>
      <c r="B20" s="2" t="s">
        <v>45</v>
      </c>
      <c r="C20" s="2">
        <f>0.147*C37+0.1222*C35+87.3/3600*C38+2.3704*C37+0.312*C36+(1000-1000*7.8/100/101.07*207.43)/1000*C31+0.9454*C24+1000*7.8/100/1000*C32/35335*2665+1000*7.8/100/101.07*(207.43-101.07)/1000*C33+0.487*1000*7.8/100/101.07*207.43/1000*C38+2.59/1000*C34</f>
        <v>2.2343652004299671E-5</v>
      </c>
      <c r="D20" s="2">
        <f>C20*0.9</f>
        <v>2.0109286803869706E-5</v>
      </c>
      <c r="E20" s="2">
        <f>C20*1.1</f>
        <v>2.4578017204729639E-5</v>
      </c>
      <c r="F20" s="3" t="s">
        <v>1</v>
      </c>
      <c r="G20" s="2" t="s">
        <v>0</v>
      </c>
    </row>
    <row r="21" spans="1:7" x14ac:dyDescent="0.2">
      <c r="A21" s="2" t="s">
        <v>38</v>
      </c>
      <c r="B21" s="2" t="s">
        <v>45</v>
      </c>
      <c r="C21" s="2">
        <f>0.4168*C36+3.358*C35+0.206*C37+1.6569*C37+0.4856*C36+0.0149*C38+1.2669*C36+0.7722*C23+0.6177*C24+0.0349*C25+0.136*C26+0.0834*C27+0.0973*C28+0.0088*C29+1.301*C30</f>
        <v>1.3924763763789999E-6</v>
      </c>
      <c r="D21" s="2">
        <f>C21*0.9</f>
        <v>1.2532287387411E-6</v>
      </c>
      <c r="E21" s="2">
        <f>C21*1.1</f>
        <v>1.5317240140169E-6</v>
      </c>
      <c r="F21" s="3" t="s">
        <v>1</v>
      </c>
      <c r="G21" s="2" t="s">
        <v>0</v>
      </c>
    </row>
    <row r="23" spans="1:7" x14ac:dyDescent="0.2">
      <c r="A23" s="2" t="s">
        <v>100</v>
      </c>
      <c r="B23" s="2" t="s">
        <v>45</v>
      </c>
      <c r="C23" s="11">
        <v>1.4991E-7</v>
      </c>
      <c r="D23" s="2">
        <f>C23*0.9</f>
        <v>1.3491899999999999E-7</v>
      </c>
      <c r="E23" s="2">
        <f>C23*1.1</f>
        <v>1.64901E-7</v>
      </c>
      <c r="F23" s="3" t="s">
        <v>1</v>
      </c>
      <c r="G23" s="2" t="s">
        <v>0</v>
      </c>
    </row>
    <row r="24" spans="1:7" x14ac:dyDescent="0.2">
      <c r="A24" s="2" t="s">
        <v>101</v>
      </c>
      <c r="B24" s="2" t="s">
        <v>45</v>
      </c>
      <c r="C24" s="11">
        <v>1.6106999999999999E-10</v>
      </c>
      <c r="D24" s="2">
        <f>C24*0.9</f>
        <v>1.4496300000000001E-10</v>
      </c>
      <c r="E24" s="2">
        <f>C24*1.1</f>
        <v>1.77177E-10</v>
      </c>
      <c r="F24" s="3" t="s">
        <v>1</v>
      </c>
      <c r="G24" s="2" t="s">
        <v>0</v>
      </c>
    </row>
    <row r="25" spans="1:7" x14ac:dyDescent="0.2">
      <c r="A25" s="2" t="s">
        <v>102</v>
      </c>
      <c r="B25" s="2" t="s">
        <v>45</v>
      </c>
      <c r="C25" s="11">
        <v>1.4737999999999999E-7</v>
      </c>
      <c r="D25" s="2">
        <f>C25*0.9</f>
        <v>1.32642E-7</v>
      </c>
      <c r="E25" s="2">
        <f>C25*1.1</f>
        <v>1.62118E-7</v>
      </c>
      <c r="F25" s="3" t="s">
        <v>1</v>
      </c>
      <c r="G25" s="2" t="s">
        <v>0</v>
      </c>
    </row>
    <row r="26" spans="1:7" x14ac:dyDescent="0.2">
      <c r="A26" s="2" t="s">
        <v>103</v>
      </c>
      <c r="B26" s="2" t="s">
        <v>45</v>
      </c>
      <c r="C26" s="11">
        <v>3.0492000000000001E-7</v>
      </c>
      <c r="D26" s="2">
        <f>C26*0.9</f>
        <v>2.74428E-7</v>
      </c>
      <c r="E26" s="2">
        <f>C26*1.1</f>
        <v>3.3541200000000001E-7</v>
      </c>
      <c r="F26" s="3" t="s">
        <v>1</v>
      </c>
      <c r="G26" s="2" t="s">
        <v>0</v>
      </c>
    </row>
    <row r="27" spans="1:7" x14ac:dyDescent="0.2">
      <c r="A27" s="2" t="s">
        <v>104</v>
      </c>
      <c r="B27" s="2" t="s">
        <v>45</v>
      </c>
      <c r="C27" s="11">
        <v>3.7824E-6</v>
      </c>
      <c r="D27" s="2">
        <f>C27*0.9</f>
        <v>3.4041600000000001E-6</v>
      </c>
      <c r="E27" s="2">
        <f>C27*1.1</f>
        <v>4.1606400000000007E-6</v>
      </c>
      <c r="F27" s="3" t="s">
        <v>1</v>
      </c>
      <c r="G27" s="2" t="s">
        <v>0</v>
      </c>
    </row>
    <row r="28" spans="1:7" x14ac:dyDescent="0.2">
      <c r="A28" s="2" t="s">
        <v>105</v>
      </c>
      <c r="B28" s="2" t="s">
        <v>45</v>
      </c>
      <c r="C28" s="11">
        <v>1.5302E-8</v>
      </c>
      <c r="D28" s="2">
        <f>C28*0.9</f>
        <v>1.37718E-8</v>
      </c>
      <c r="E28" s="2">
        <f>C28*1.1</f>
        <v>1.6832200000000002E-8</v>
      </c>
      <c r="F28" s="3" t="s">
        <v>1</v>
      </c>
      <c r="G28" s="2" t="s">
        <v>0</v>
      </c>
    </row>
    <row r="29" spans="1:7" x14ac:dyDescent="0.2">
      <c r="A29" s="2" t="s">
        <v>106</v>
      </c>
      <c r="B29" s="2" t="s">
        <v>45</v>
      </c>
      <c r="C29" s="11">
        <v>1.801E-6</v>
      </c>
      <c r="D29" s="2">
        <f>C29*0.9</f>
        <v>1.6209E-6</v>
      </c>
      <c r="E29" s="2">
        <f>C29*1.1</f>
        <v>1.9811E-6</v>
      </c>
      <c r="F29" s="3" t="s">
        <v>1</v>
      </c>
      <c r="G29" s="2" t="s">
        <v>0</v>
      </c>
    </row>
    <row r="30" spans="1:7" x14ac:dyDescent="0.2">
      <c r="A30" s="2" t="s">
        <v>107</v>
      </c>
      <c r="B30" s="2" t="s">
        <v>45</v>
      </c>
      <c r="C30" s="11">
        <v>6.4204E-7</v>
      </c>
      <c r="D30" s="2">
        <f>C30*0.9</f>
        <v>5.7783600000000004E-7</v>
      </c>
      <c r="E30" s="2">
        <f>C30*1.1</f>
        <v>7.0624400000000006E-7</v>
      </c>
      <c r="F30" s="3" t="s">
        <v>1</v>
      </c>
      <c r="G30" s="2" t="s">
        <v>0</v>
      </c>
    </row>
    <row r="31" spans="1:7" x14ac:dyDescent="0.2">
      <c r="A31" s="2" t="s">
        <v>108</v>
      </c>
      <c r="B31" s="2" t="s">
        <v>45</v>
      </c>
      <c r="C31" s="11">
        <v>8.8093999999999995E-8</v>
      </c>
      <c r="D31" s="2">
        <f>C31*0.9</f>
        <v>7.9284600000000003E-8</v>
      </c>
      <c r="E31" s="2">
        <f>C31*1.1</f>
        <v>9.6903399999999999E-8</v>
      </c>
      <c r="F31" s="3" t="s">
        <v>1</v>
      </c>
      <c r="G31" s="2" t="s">
        <v>0</v>
      </c>
    </row>
    <row r="32" spans="1:7" x14ac:dyDescent="0.2">
      <c r="A32" s="2" t="s">
        <v>129</v>
      </c>
      <c r="B32" s="2" t="s">
        <v>45</v>
      </c>
      <c r="C32" s="2">
        <v>3.7726000000000001E-3</v>
      </c>
      <c r="D32" s="2">
        <f>C32*0.9</f>
        <v>3.3953400000000002E-3</v>
      </c>
      <c r="E32" s="2">
        <f>C32*1.1</f>
        <v>4.14986E-3</v>
      </c>
      <c r="F32" s="3" t="s">
        <v>1</v>
      </c>
      <c r="G32" s="2" t="s">
        <v>0</v>
      </c>
    </row>
    <row r="33" spans="1:7" x14ac:dyDescent="0.2">
      <c r="A33" s="2" t="s">
        <v>109</v>
      </c>
      <c r="B33" s="2" t="s">
        <v>45</v>
      </c>
      <c r="C33" s="11">
        <v>5.7080999999999996E-7</v>
      </c>
      <c r="D33" s="2">
        <f>C33*0.9</f>
        <v>5.1372900000000001E-7</v>
      </c>
      <c r="E33" s="2">
        <f>C33*1.1</f>
        <v>6.2789100000000002E-7</v>
      </c>
      <c r="F33" s="3" t="s">
        <v>1</v>
      </c>
      <c r="G33" s="2" t="s">
        <v>0</v>
      </c>
    </row>
    <row r="34" spans="1:7" x14ac:dyDescent="0.2">
      <c r="A34" s="2" t="s">
        <v>110</v>
      </c>
      <c r="B34" s="2" t="s">
        <v>45</v>
      </c>
      <c r="C34" s="11">
        <v>1.092E-8</v>
      </c>
      <c r="D34" s="2">
        <f>C34*0.9</f>
        <v>9.8280000000000004E-9</v>
      </c>
      <c r="E34" s="2">
        <f>C34*1.1</f>
        <v>1.2012E-8</v>
      </c>
      <c r="F34" s="3" t="s">
        <v>1</v>
      </c>
      <c r="G34" s="2" t="s">
        <v>0</v>
      </c>
    </row>
    <row r="35" spans="1:7" x14ac:dyDescent="0.2">
      <c r="A35" s="2" t="s">
        <v>122</v>
      </c>
      <c r="B35" s="2" t="s">
        <v>45</v>
      </c>
      <c r="C35" s="11">
        <v>4.8915999999999999E-9</v>
      </c>
      <c r="D35" s="2">
        <f>C35*0.9</f>
        <v>4.4024399999999999E-9</v>
      </c>
      <c r="E35" s="2">
        <f>C35*1.1</f>
        <v>5.3807600000000008E-9</v>
      </c>
      <c r="F35" s="3" t="s">
        <v>1</v>
      </c>
      <c r="G35" s="2" t="s">
        <v>0</v>
      </c>
    </row>
    <row r="36" spans="1:7" x14ac:dyDescent="0.2">
      <c r="A36" s="2" t="s">
        <v>90</v>
      </c>
      <c r="B36" s="2" t="s">
        <v>45</v>
      </c>
      <c r="C36" s="11">
        <v>1.3243E-8</v>
      </c>
      <c r="D36" s="2">
        <f>C36*0.9</f>
        <v>1.1918699999999999E-8</v>
      </c>
      <c r="E36" s="2">
        <f>C36*1.1</f>
        <v>1.45673E-8</v>
      </c>
      <c r="F36" s="3" t="s">
        <v>1</v>
      </c>
      <c r="G36" s="2" t="s">
        <v>0</v>
      </c>
    </row>
    <row r="37" spans="1:7" x14ac:dyDescent="0.2">
      <c r="A37" s="2" t="s">
        <v>123</v>
      </c>
      <c r="B37" s="2" t="s">
        <v>45</v>
      </c>
      <c r="C37" s="11">
        <v>8.8386000000000005E-9</v>
      </c>
      <c r="D37" s="2">
        <f>C37*0.9</f>
        <v>7.9547400000000006E-9</v>
      </c>
      <c r="E37" s="2">
        <f>C37*1.1</f>
        <v>9.722460000000002E-9</v>
      </c>
      <c r="F37" s="3" t="s">
        <v>1</v>
      </c>
      <c r="G37" s="2" t="s">
        <v>0</v>
      </c>
    </row>
    <row r="38" spans="1:7" x14ac:dyDescent="0.2">
      <c r="A38" s="2" t="s">
        <v>39</v>
      </c>
      <c r="B38" s="2" t="s">
        <v>45</v>
      </c>
      <c r="C38" s="11">
        <v>2.0158000000000001E-8</v>
      </c>
      <c r="D38" s="2">
        <f>C38*0.9</f>
        <v>1.8142200000000002E-8</v>
      </c>
      <c r="E38" s="2">
        <f>C38*1.1</f>
        <v>2.2173800000000003E-8</v>
      </c>
      <c r="F38" s="3" t="s">
        <v>1</v>
      </c>
      <c r="G38" s="2" t="s">
        <v>0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8FE82-F88E-9643-85A3-7681782C4413}">
  <dimension ref="A1:G38"/>
  <sheetViews>
    <sheetView topLeftCell="A7" workbookViewId="0">
      <selection activeCell="L32" sqref="L32"/>
    </sheetView>
  </sheetViews>
  <sheetFormatPr baseColWidth="10" defaultRowHeight="16" x14ac:dyDescent="0.2"/>
  <cols>
    <col min="1" max="1" width="23.83203125" bestFit="1" customWidth="1"/>
    <col min="2" max="2" width="15" bestFit="1" customWidth="1"/>
    <col min="3" max="3" width="14.1640625" bestFit="1" customWidth="1"/>
    <col min="6" max="6" width="11.83203125" bestFit="1" customWidth="1"/>
    <col min="7" max="7" width="11.66406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65</v>
      </c>
      <c r="B2" s="2" t="s">
        <v>46</v>
      </c>
      <c r="C2" s="2">
        <f>1.26/74049000*215840</f>
        <v>3.6726816027225213E-3</v>
      </c>
      <c r="D2" s="2">
        <f t="shared" ref="D2:D3" si="0">C2*0.9</f>
        <v>3.3054134424502692E-3</v>
      </c>
      <c r="E2" s="2">
        <f t="shared" ref="E2:E3" si="1">C2*1.1</f>
        <v>4.0399497629947734E-3</v>
      </c>
      <c r="F2" s="4" t="s">
        <v>1</v>
      </c>
      <c r="G2" s="5" t="s">
        <v>0</v>
      </c>
    </row>
    <row r="3" spans="1:7" x14ac:dyDescent="0.2">
      <c r="A3" s="2" t="s">
        <v>71</v>
      </c>
      <c r="B3" s="2" t="s">
        <v>46</v>
      </c>
      <c r="C3" s="2">
        <f>0.7892/2500</f>
        <v>3.1567999999999999E-4</v>
      </c>
      <c r="D3" s="2">
        <f t="shared" si="0"/>
        <v>2.8411199999999999E-4</v>
      </c>
      <c r="E3" s="2">
        <f t="shared" si="1"/>
        <v>3.4724800000000003E-4</v>
      </c>
      <c r="F3" s="4" t="s">
        <v>1</v>
      </c>
      <c r="G3" s="5" t="s">
        <v>0</v>
      </c>
    </row>
    <row r="4" spans="1:7" x14ac:dyDescent="0.2">
      <c r="A4" s="2" t="s">
        <v>27</v>
      </c>
      <c r="B4" s="2" t="s">
        <v>46</v>
      </c>
      <c r="C4" s="2">
        <f>43.493/300</f>
        <v>0.14497666666666667</v>
      </c>
      <c r="D4" s="2">
        <f t="shared" ref="D4:D14" si="2">C4*0.9</f>
        <v>0.13047900000000001</v>
      </c>
      <c r="E4" s="2">
        <f t="shared" ref="E4:E14" si="3">C4*1.1</f>
        <v>0.15947433333333336</v>
      </c>
      <c r="F4" s="4" t="s">
        <v>1</v>
      </c>
      <c r="G4" s="5" t="s">
        <v>0</v>
      </c>
    </row>
    <row r="5" spans="1:7" x14ac:dyDescent="0.2">
      <c r="A5" s="2" t="s">
        <v>28</v>
      </c>
      <c r="B5" s="2" t="s">
        <v>46</v>
      </c>
      <c r="C5" s="2">
        <v>1.2186000000000001E-2</v>
      </c>
      <c r="D5" s="2">
        <f t="shared" si="2"/>
        <v>1.09674E-2</v>
      </c>
      <c r="E5" s="2">
        <f t="shared" si="3"/>
        <v>1.3404600000000003E-2</v>
      </c>
      <c r="F5" s="4" t="s">
        <v>1</v>
      </c>
      <c r="G5" s="5" t="s">
        <v>0</v>
      </c>
    </row>
    <row r="6" spans="1:7" x14ac:dyDescent="0.2">
      <c r="A6" s="2" t="s">
        <v>29</v>
      </c>
      <c r="B6" s="2" t="s">
        <v>46</v>
      </c>
      <c r="C6" s="2">
        <v>4.8205000000000001E-3</v>
      </c>
      <c r="D6" s="2">
        <f t="shared" si="2"/>
        <v>4.3384500000000006E-3</v>
      </c>
      <c r="E6" s="2">
        <f t="shared" si="3"/>
        <v>5.3025500000000005E-3</v>
      </c>
      <c r="F6" s="3" t="s">
        <v>1</v>
      </c>
      <c r="G6" s="2" t="s">
        <v>0</v>
      </c>
    </row>
    <row r="7" spans="1:7" x14ac:dyDescent="0.2">
      <c r="A7" s="2" t="s">
        <v>70</v>
      </c>
      <c r="B7" s="2" t="s">
        <v>46</v>
      </c>
      <c r="C7" s="2">
        <v>5.3051000000000001E-3</v>
      </c>
      <c r="D7" s="2">
        <f t="shared" ref="D7" si="4">C7*0.9</f>
        <v>4.7745900000000004E-3</v>
      </c>
      <c r="E7" s="2">
        <f t="shared" ref="E7" si="5">C7*1.1</f>
        <v>5.8356100000000006E-3</v>
      </c>
      <c r="F7" s="3" t="s">
        <v>1</v>
      </c>
      <c r="G7" s="2" t="s">
        <v>0</v>
      </c>
    </row>
    <row r="8" spans="1:7" x14ac:dyDescent="0.2">
      <c r="A8" s="2" t="s">
        <v>30</v>
      </c>
      <c r="B8" s="2" t="s">
        <v>46</v>
      </c>
      <c r="C8" s="2">
        <v>8.9067999999999994E-3</v>
      </c>
      <c r="D8" s="2">
        <f t="shared" si="2"/>
        <v>8.0161199999999998E-3</v>
      </c>
      <c r="E8" s="2">
        <f t="shared" si="3"/>
        <v>9.7974800000000008E-3</v>
      </c>
      <c r="F8" s="3" t="s">
        <v>1</v>
      </c>
      <c r="G8" s="2" t="s">
        <v>0</v>
      </c>
    </row>
    <row r="9" spans="1:7" x14ac:dyDescent="0.2">
      <c r="A9" s="2" t="s">
        <v>31</v>
      </c>
      <c r="B9" s="2" t="s">
        <v>46</v>
      </c>
      <c r="C9" s="11">
        <f>0.00099355/20+19/20*C24</f>
        <v>5.0386599E-5</v>
      </c>
      <c r="D9" s="2">
        <f t="shared" si="2"/>
        <v>4.5347939099999998E-5</v>
      </c>
      <c r="E9" s="2">
        <f t="shared" si="3"/>
        <v>5.5425258900000002E-5</v>
      </c>
      <c r="F9" s="3" t="s">
        <v>1</v>
      </c>
      <c r="G9" s="2" t="s">
        <v>0</v>
      </c>
    </row>
    <row r="10" spans="1:7" x14ac:dyDescent="0.2">
      <c r="A10" s="2" t="s">
        <v>32</v>
      </c>
      <c r="B10" s="2" t="s">
        <v>46</v>
      </c>
      <c r="C10" s="2">
        <v>7.2306000000000002E-3</v>
      </c>
      <c r="D10" s="2">
        <f t="shared" si="2"/>
        <v>6.50754E-3</v>
      </c>
      <c r="E10" s="2">
        <f t="shared" si="3"/>
        <v>7.9536600000000013E-3</v>
      </c>
      <c r="F10" s="3" t="s">
        <v>1</v>
      </c>
      <c r="G10" s="2" t="s">
        <v>0</v>
      </c>
    </row>
    <row r="11" spans="1:7" x14ac:dyDescent="0.2">
      <c r="A11" s="2" t="s">
        <v>33</v>
      </c>
      <c r="B11" s="2" t="s">
        <v>46</v>
      </c>
      <c r="C11" s="2">
        <v>5.2544999999999996E-3</v>
      </c>
      <c r="D11" s="2">
        <f t="shared" si="2"/>
        <v>4.7290499999999994E-3</v>
      </c>
      <c r="E11" s="2">
        <f t="shared" si="3"/>
        <v>5.7799499999999998E-3</v>
      </c>
      <c r="F11" s="3" t="s">
        <v>1</v>
      </c>
      <c r="G11" s="2" t="s">
        <v>0</v>
      </c>
    </row>
    <row r="12" spans="1:7" x14ac:dyDescent="0.2">
      <c r="A12" s="2" t="s">
        <v>34</v>
      </c>
      <c r="B12" s="2" t="s">
        <v>46</v>
      </c>
      <c r="C12" s="2">
        <v>1.7137000000000001E-3</v>
      </c>
      <c r="D12" s="2">
        <f t="shared" si="2"/>
        <v>1.5423300000000002E-3</v>
      </c>
      <c r="E12" s="2">
        <f t="shared" si="3"/>
        <v>1.8850700000000002E-3</v>
      </c>
      <c r="F12" s="3" t="s">
        <v>1</v>
      </c>
      <c r="G12" s="2" t="s">
        <v>0</v>
      </c>
    </row>
    <row r="13" spans="1:7" x14ac:dyDescent="0.2">
      <c r="A13" s="2" t="s">
        <v>35</v>
      </c>
      <c r="B13" s="2" t="s">
        <v>46</v>
      </c>
      <c r="C13" s="2">
        <v>3.3971000000000001E-3</v>
      </c>
      <c r="D13" s="2">
        <f t="shared" si="2"/>
        <v>3.0573900000000001E-3</v>
      </c>
      <c r="E13" s="2">
        <f t="shared" si="3"/>
        <v>3.7368100000000006E-3</v>
      </c>
      <c r="F13" s="3" t="s">
        <v>1</v>
      </c>
      <c r="G13" s="2" t="s">
        <v>0</v>
      </c>
    </row>
    <row r="14" spans="1:7" x14ac:dyDescent="0.2">
      <c r="A14" s="2" t="s">
        <v>36</v>
      </c>
      <c r="B14" s="2" t="s">
        <v>46</v>
      </c>
      <c r="C14" s="2">
        <v>3.0016999999999999E-3</v>
      </c>
      <c r="D14" s="2">
        <f t="shared" si="2"/>
        <v>2.7015300000000002E-3</v>
      </c>
      <c r="E14" s="2">
        <f t="shared" si="3"/>
        <v>3.3018700000000002E-3</v>
      </c>
      <c r="F14" s="4" t="s">
        <v>1</v>
      </c>
      <c r="G14" s="5" t="s">
        <v>0</v>
      </c>
    </row>
    <row r="15" spans="1:7" x14ac:dyDescent="0.2">
      <c r="A15" s="2" t="s">
        <v>83</v>
      </c>
      <c r="B15" s="2" t="s">
        <v>46</v>
      </c>
      <c r="C15" s="2">
        <f>0.0022275*115.03/245.41</f>
        <v>1.0440867324069923E-3</v>
      </c>
      <c r="D15" s="2">
        <f t="shared" ref="D15:D16" si="6">C15*0.9</f>
        <v>9.3967805916629306E-4</v>
      </c>
      <c r="E15" s="2">
        <f t="shared" ref="E15:E16" si="7">C15*1.1</f>
        <v>1.1484954056476917E-3</v>
      </c>
      <c r="F15" s="3" t="s">
        <v>1</v>
      </c>
      <c r="G15" s="2" t="s">
        <v>0</v>
      </c>
    </row>
    <row r="16" spans="1:7" x14ac:dyDescent="0.2">
      <c r="A16" s="2" t="s">
        <v>84</v>
      </c>
      <c r="B16" s="2" t="s">
        <v>46</v>
      </c>
      <c r="C16" s="2">
        <v>4.4519E-3</v>
      </c>
      <c r="D16" s="2">
        <f t="shared" si="6"/>
        <v>4.0067100000000001E-3</v>
      </c>
      <c r="E16" s="2">
        <f t="shared" si="7"/>
        <v>4.8970900000000006E-3</v>
      </c>
      <c r="F16" s="3" t="s">
        <v>1</v>
      </c>
      <c r="G16" s="2" t="s">
        <v>0</v>
      </c>
    </row>
    <row r="17" spans="1:7" x14ac:dyDescent="0.2">
      <c r="A17" s="2" t="s">
        <v>90</v>
      </c>
      <c r="B17" s="2" t="s">
        <v>46</v>
      </c>
      <c r="C17" s="2">
        <v>9.2588000000000002E-4</v>
      </c>
      <c r="D17" s="2">
        <f>C17*0.9</f>
        <v>8.3329200000000002E-4</v>
      </c>
      <c r="E17" s="2">
        <f>C17*1.1</f>
        <v>1.018468E-3</v>
      </c>
      <c r="F17" s="3" t="s">
        <v>1</v>
      </c>
      <c r="G17" s="2" t="s">
        <v>0</v>
      </c>
    </row>
    <row r="18" spans="1:7" x14ac:dyDescent="0.2">
      <c r="A18" s="2" t="s">
        <v>39</v>
      </c>
      <c r="B18" s="2" t="s">
        <v>46</v>
      </c>
      <c r="C18" s="2">
        <v>1.5334000000000001E-3</v>
      </c>
      <c r="D18" s="2">
        <f>C18*0.9</f>
        <v>1.38006E-3</v>
      </c>
      <c r="E18" s="2">
        <f>C18*1.1</f>
        <v>1.6867400000000002E-3</v>
      </c>
      <c r="F18" s="3" t="s">
        <v>1</v>
      </c>
      <c r="G18" s="2" t="s">
        <v>0</v>
      </c>
    </row>
    <row r="19" spans="1:7" x14ac:dyDescent="0.2">
      <c r="A19" s="2" t="s">
        <v>107</v>
      </c>
      <c r="B19" s="2" t="s">
        <v>46</v>
      </c>
      <c r="C19" s="2">
        <v>1.9456E-3</v>
      </c>
      <c r="D19" s="2">
        <f>C19*0.9</f>
        <v>1.7510400000000001E-3</v>
      </c>
      <c r="E19" s="2">
        <f>C19*1.1</f>
        <v>2.1401600000000003E-3</v>
      </c>
      <c r="F19" s="3" t="s">
        <v>1</v>
      </c>
      <c r="G19" s="2" t="s">
        <v>0</v>
      </c>
    </row>
    <row r="20" spans="1:7" x14ac:dyDescent="0.2">
      <c r="A20" s="2" t="s">
        <v>37</v>
      </c>
      <c r="B20" s="2" t="s">
        <v>46</v>
      </c>
      <c r="C20" s="2">
        <f>0.147*C37+0.1222*C35+87.3/3600*C38+2.3704*C37+0.312*C36+(1000-1000*7.8/100/101.07*207.43)/1000*C31+0.9454*C24+1000*7.8/100/1000*C32/35335*2665+1000*7.8/100/101.07*(207.43-101.07)/1000*C33+0.487*1000*7.8/100/101.07*207.43/1000*C38+2.59/1000*C34</f>
        <v>6.7354050717807477</v>
      </c>
      <c r="D20" s="2">
        <f>C20*0.9</f>
        <v>6.061864564602673</v>
      </c>
      <c r="E20" s="2">
        <f>C20*1.1</f>
        <v>7.4089455789588232</v>
      </c>
      <c r="F20" s="3" t="s">
        <v>1</v>
      </c>
      <c r="G20" s="2" t="s">
        <v>0</v>
      </c>
    </row>
    <row r="21" spans="1:7" x14ac:dyDescent="0.2">
      <c r="A21" s="2" t="s">
        <v>38</v>
      </c>
      <c r="B21" s="2" t="s">
        <v>46</v>
      </c>
      <c r="C21" s="2">
        <f>0.4168*C36+3.358*C35+0.206*C37+1.6569*C37+0.4856*C36+0.0149*C38+1.2669*C36+0.7722*C23+0.6177*C24+0.0349*C25+0.136*C26+0.0834*C27+0.0973*C28+0.0088*C29+1.301*C30</f>
        <v>2.9648759230633998E-2</v>
      </c>
      <c r="D21" s="2">
        <f>C21*0.9</f>
        <v>2.6683883307570599E-2</v>
      </c>
      <c r="E21" s="2">
        <f>C21*1.1</f>
        <v>3.2613635153697404E-2</v>
      </c>
      <c r="F21" s="3" t="s">
        <v>1</v>
      </c>
      <c r="G21" s="2" t="s">
        <v>0</v>
      </c>
    </row>
    <row r="23" spans="1:7" x14ac:dyDescent="0.2">
      <c r="A23" s="2" t="s">
        <v>100</v>
      </c>
      <c r="B23" s="2" t="s">
        <v>46</v>
      </c>
      <c r="C23" s="2">
        <v>5.0350000000000004E-3</v>
      </c>
      <c r="D23" s="2">
        <f t="shared" ref="D23:D38" si="8">C23*0.9</f>
        <v>4.5315000000000008E-3</v>
      </c>
      <c r="E23" s="2">
        <f t="shared" ref="E23:E38" si="9">C23*1.1</f>
        <v>5.5385000000000009E-3</v>
      </c>
      <c r="F23" s="3" t="s">
        <v>1</v>
      </c>
      <c r="G23" s="2" t="s">
        <v>0</v>
      </c>
    </row>
    <row r="24" spans="1:7" x14ac:dyDescent="0.2">
      <c r="A24" s="2" t="s">
        <v>101</v>
      </c>
      <c r="B24" s="2" t="s">
        <v>46</v>
      </c>
      <c r="C24" s="11">
        <v>7.4641999999999998E-7</v>
      </c>
      <c r="D24" s="2">
        <f t="shared" si="8"/>
        <v>6.71778E-7</v>
      </c>
      <c r="E24" s="2">
        <f t="shared" si="9"/>
        <v>8.2106200000000008E-7</v>
      </c>
      <c r="F24" s="3" t="s">
        <v>1</v>
      </c>
      <c r="G24" s="2" t="s">
        <v>0</v>
      </c>
    </row>
    <row r="25" spans="1:7" x14ac:dyDescent="0.2">
      <c r="A25" s="2" t="s">
        <v>102</v>
      </c>
      <c r="B25" s="2" t="s">
        <v>46</v>
      </c>
      <c r="C25" s="2">
        <v>4.3090000000000003E-3</v>
      </c>
      <c r="D25" s="2">
        <f t="shared" si="8"/>
        <v>3.8781000000000002E-3</v>
      </c>
      <c r="E25" s="2">
        <f t="shared" si="9"/>
        <v>4.7399000000000009E-3</v>
      </c>
      <c r="F25" s="3" t="s">
        <v>1</v>
      </c>
      <c r="G25" s="2" t="s">
        <v>0</v>
      </c>
    </row>
    <row r="26" spans="1:7" x14ac:dyDescent="0.2">
      <c r="A26" s="2" t="s">
        <v>103</v>
      </c>
      <c r="B26" s="2" t="s">
        <v>46</v>
      </c>
      <c r="C26" s="2">
        <v>0.11305999999999999</v>
      </c>
      <c r="D26" s="2">
        <f t="shared" si="8"/>
        <v>0.101754</v>
      </c>
      <c r="E26" s="2">
        <f t="shared" si="9"/>
        <v>0.124366</v>
      </c>
      <c r="F26" s="3" t="s">
        <v>1</v>
      </c>
      <c r="G26" s="2" t="s">
        <v>0</v>
      </c>
    </row>
    <row r="27" spans="1:7" x14ac:dyDescent="0.2">
      <c r="A27" s="2" t="s">
        <v>104</v>
      </c>
      <c r="B27" s="2" t="s">
        <v>46</v>
      </c>
      <c r="C27" s="2">
        <v>8.1471000000000002E-2</v>
      </c>
      <c r="D27" s="2">
        <f t="shared" si="8"/>
        <v>7.3323899999999997E-2</v>
      </c>
      <c r="E27" s="2">
        <f t="shared" si="9"/>
        <v>8.9618100000000006E-2</v>
      </c>
      <c r="F27" s="3" t="s">
        <v>1</v>
      </c>
      <c r="G27" s="2" t="s">
        <v>0</v>
      </c>
    </row>
    <row r="28" spans="1:7" x14ac:dyDescent="0.2">
      <c r="A28" s="2" t="s">
        <v>105</v>
      </c>
      <c r="B28" s="2" t="s">
        <v>46</v>
      </c>
      <c r="C28" s="2">
        <v>3.1377E-4</v>
      </c>
      <c r="D28" s="2">
        <f t="shared" si="8"/>
        <v>2.8239300000000003E-4</v>
      </c>
      <c r="E28" s="2">
        <f t="shared" si="9"/>
        <v>3.4514700000000002E-4</v>
      </c>
      <c r="F28" s="3" t="s">
        <v>1</v>
      </c>
      <c r="G28" s="2" t="s">
        <v>0</v>
      </c>
    </row>
    <row r="29" spans="1:7" x14ac:dyDescent="0.2">
      <c r="A29" s="2" t="s">
        <v>106</v>
      </c>
      <c r="B29" s="2" t="s">
        <v>46</v>
      </c>
      <c r="C29" s="2">
        <v>5.2544999999999996E-3</v>
      </c>
      <c r="D29" s="2">
        <f t="shared" si="8"/>
        <v>4.7290499999999994E-3</v>
      </c>
      <c r="E29" s="2">
        <f t="shared" si="9"/>
        <v>5.7799499999999998E-3</v>
      </c>
      <c r="F29" s="3" t="s">
        <v>1</v>
      </c>
      <c r="G29" s="2" t="s">
        <v>0</v>
      </c>
    </row>
    <row r="30" spans="1:7" x14ac:dyDescent="0.2">
      <c r="A30" s="2" t="s">
        <v>107</v>
      </c>
      <c r="B30" s="2" t="s">
        <v>46</v>
      </c>
      <c r="C30" s="2">
        <v>1.9456E-3</v>
      </c>
      <c r="D30" s="2">
        <f t="shared" si="8"/>
        <v>1.7510400000000001E-3</v>
      </c>
      <c r="E30" s="2">
        <f t="shared" si="9"/>
        <v>2.1401600000000003E-3</v>
      </c>
      <c r="F30" s="3" t="s">
        <v>1</v>
      </c>
      <c r="G30" s="2" t="s">
        <v>0</v>
      </c>
    </row>
    <row r="31" spans="1:7" x14ac:dyDescent="0.2">
      <c r="A31" s="2" t="s">
        <v>108</v>
      </c>
      <c r="B31" s="2" t="s">
        <v>46</v>
      </c>
      <c r="C31" s="2">
        <v>7.6182999999999997E-3</v>
      </c>
      <c r="D31" s="2">
        <f t="shared" si="8"/>
        <v>6.8564699999999999E-3</v>
      </c>
      <c r="E31" s="2">
        <f t="shared" si="9"/>
        <v>8.3801299999999995E-3</v>
      </c>
      <c r="F31" s="3" t="s">
        <v>1</v>
      </c>
      <c r="G31" s="2" t="s">
        <v>0</v>
      </c>
    </row>
    <row r="32" spans="1:7" x14ac:dyDescent="0.2">
      <c r="A32" s="2" t="s">
        <v>129</v>
      </c>
      <c r="B32" s="2" t="s">
        <v>46</v>
      </c>
      <c r="C32" s="2">
        <v>1143.7</v>
      </c>
      <c r="D32" s="2">
        <f t="shared" si="8"/>
        <v>1029.3300000000002</v>
      </c>
      <c r="E32" s="2">
        <f t="shared" si="9"/>
        <v>1258.0700000000002</v>
      </c>
      <c r="F32" s="3" t="s">
        <v>1</v>
      </c>
      <c r="G32" s="2" t="s">
        <v>0</v>
      </c>
    </row>
    <row r="33" spans="1:7" x14ac:dyDescent="0.2">
      <c r="A33" s="2" t="s">
        <v>109</v>
      </c>
      <c r="B33" s="2" t="s">
        <v>46</v>
      </c>
      <c r="C33" s="2">
        <v>2.3601999999999998E-3</v>
      </c>
      <c r="D33" s="2">
        <f t="shared" si="8"/>
        <v>2.1241799999999998E-3</v>
      </c>
      <c r="E33" s="2">
        <f t="shared" si="9"/>
        <v>2.5962199999999998E-3</v>
      </c>
      <c r="F33" s="3" t="s">
        <v>1</v>
      </c>
      <c r="G33" s="2" t="s">
        <v>0</v>
      </c>
    </row>
    <row r="34" spans="1:7" x14ac:dyDescent="0.2">
      <c r="A34" s="2" t="s">
        <v>110</v>
      </c>
      <c r="B34" s="2" t="s">
        <v>46</v>
      </c>
      <c r="C34" s="2">
        <v>9.9635999999999995E-4</v>
      </c>
      <c r="D34" s="2">
        <f t="shared" si="8"/>
        <v>8.96724E-4</v>
      </c>
      <c r="E34" s="2">
        <f t="shared" si="9"/>
        <v>1.0959960000000001E-3</v>
      </c>
      <c r="F34" s="3" t="s">
        <v>1</v>
      </c>
      <c r="G34" s="2" t="s">
        <v>0</v>
      </c>
    </row>
    <row r="35" spans="1:7" x14ac:dyDescent="0.2">
      <c r="A35" s="2" t="s">
        <v>122</v>
      </c>
      <c r="B35" s="2" t="s">
        <v>46</v>
      </c>
      <c r="C35" s="11">
        <v>7.2872000000000003E-5</v>
      </c>
      <c r="D35" s="2">
        <f t="shared" si="8"/>
        <v>6.5584800000000003E-5</v>
      </c>
      <c r="E35" s="2">
        <f t="shared" si="9"/>
        <v>8.0159200000000003E-5</v>
      </c>
      <c r="F35" s="3" t="s">
        <v>1</v>
      </c>
      <c r="G35" s="2" t="s">
        <v>0</v>
      </c>
    </row>
    <row r="36" spans="1:7" x14ac:dyDescent="0.2">
      <c r="A36" s="2" t="s">
        <v>90</v>
      </c>
      <c r="B36" s="2" t="s">
        <v>46</v>
      </c>
      <c r="C36" s="2">
        <v>1.2102E-4</v>
      </c>
      <c r="D36" s="2">
        <f t="shared" si="8"/>
        <v>1.08918E-4</v>
      </c>
      <c r="E36" s="2">
        <f t="shared" si="9"/>
        <v>1.33122E-4</v>
      </c>
      <c r="F36" s="3" t="s">
        <v>1</v>
      </c>
      <c r="G36" s="2" t="s">
        <v>0</v>
      </c>
    </row>
    <row r="37" spans="1:7" x14ac:dyDescent="0.2">
      <c r="A37" s="2" t="s">
        <v>123</v>
      </c>
      <c r="B37" s="2" t="s">
        <v>46</v>
      </c>
      <c r="C37" s="2">
        <v>1.6155999999999999E-4</v>
      </c>
      <c r="D37" s="2">
        <f t="shared" si="8"/>
        <v>1.4540399999999999E-4</v>
      </c>
      <c r="E37" s="2">
        <f t="shared" si="9"/>
        <v>1.7771600000000002E-4</v>
      </c>
      <c r="F37" s="3" t="s">
        <v>1</v>
      </c>
      <c r="G37" s="2" t="s">
        <v>0</v>
      </c>
    </row>
    <row r="38" spans="1:7" x14ac:dyDescent="0.2">
      <c r="A38" s="2" t="s">
        <v>39</v>
      </c>
      <c r="B38" s="2" t="s">
        <v>46</v>
      </c>
      <c r="C38" s="2">
        <v>1.5334000000000001E-3</v>
      </c>
      <c r="D38" s="2">
        <f t="shared" si="8"/>
        <v>1.38006E-3</v>
      </c>
      <c r="E38" s="2">
        <f t="shared" si="9"/>
        <v>1.6867400000000002E-3</v>
      </c>
      <c r="F38" s="3" t="s">
        <v>1</v>
      </c>
      <c r="G38" s="2" t="s">
        <v>0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51A52-8F98-9E4F-A71B-2360CB867449}">
  <dimension ref="A1:G38"/>
  <sheetViews>
    <sheetView workbookViewId="0">
      <selection activeCell="N26" sqref="N26"/>
    </sheetView>
  </sheetViews>
  <sheetFormatPr baseColWidth="10" defaultRowHeight="16" x14ac:dyDescent="0.2"/>
  <cols>
    <col min="1" max="1" width="23.83203125" bestFit="1" customWidth="1"/>
    <col min="2" max="2" width="14.83203125" bestFit="1" customWidth="1"/>
    <col min="6" max="6" width="11.83203125" bestFit="1" customWidth="1"/>
    <col min="7" max="7" width="11.66406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65</v>
      </c>
      <c r="B2" s="2" t="s">
        <v>47</v>
      </c>
      <c r="C2" s="2">
        <f>1.26/74049000*2640600</f>
        <v>4.4931815419519502E-2</v>
      </c>
      <c r="D2" s="2">
        <f t="shared" ref="D2:D3" si="0">C2*0.9</f>
        <v>4.0438633877567555E-2</v>
      </c>
      <c r="E2" s="2">
        <f t="shared" ref="E2:E3" si="1">C2*1.1</f>
        <v>4.9424996961471457E-2</v>
      </c>
      <c r="F2" s="4" t="s">
        <v>1</v>
      </c>
      <c r="G2" s="5" t="s">
        <v>0</v>
      </c>
    </row>
    <row r="3" spans="1:7" x14ac:dyDescent="0.2">
      <c r="A3" s="2" t="s">
        <v>71</v>
      </c>
      <c r="B3" s="2" t="s">
        <v>47</v>
      </c>
      <c r="C3" s="2">
        <f>0.55013/2500</f>
        <v>2.2005200000000001E-4</v>
      </c>
      <c r="D3" s="2">
        <f t="shared" si="0"/>
        <v>1.9804680000000001E-4</v>
      </c>
      <c r="E3" s="2">
        <f t="shared" si="1"/>
        <v>2.4205720000000004E-4</v>
      </c>
      <c r="F3" s="4" t="s">
        <v>1</v>
      </c>
      <c r="G3" s="5" t="s">
        <v>0</v>
      </c>
    </row>
    <row r="4" spans="1:7" x14ac:dyDescent="0.2">
      <c r="A4" s="2" t="s">
        <v>27</v>
      </c>
      <c r="B4" s="2" t="s">
        <v>47</v>
      </c>
      <c r="C4" s="2">
        <f>1361.3/300</f>
        <v>4.5376666666666665</v>
      </c>
      <c r="D4" s="2">
        <f t="shared" ref="D4:D14" si="2">C4*0.9</f>
        <v>4.0838999999999999</v>
      </c>
      <c r="E4" s="2">
        <f t="shared" ref="E4:E14" si="3">C4*1.1</f>
        <v>4.9914333333333332</v>
      </c>
      <c r="F4" s="4" t="s">
        <v>1</v>
      </c>
      <c r="G4" s="5" t="s">
        <v>0</v>
      </c>
    </row>
    <row r="5" spans="1:7" x14ac:dyDescent="0.2">
      <c r="A5" s="2" t="s">
        <v>28</v>
      </c>
      <c r="B5" s="2" t="s">
        <v>47</v>
      </c>
      <c r="C5" s="2">
        <v>0.13854</v>
      </c>
      <c r="D5" s="2">
        <f t="shared" si="2"/>
        <v>0.12468600000000001</v>
      </c>
      <c r="E5" s="2">
        <f t="shared" si="3"/>
        <v>0.152394</v>
      </c>
      <c r="F5" s="4" t="s">
        <v>1</v>
      </c>
      <c r="G5" s="5" t="s">
        <v>0</v>
      </c>
    </row>
    <row r="6" spans="1:7" x14ac:dyDescent="0.2">
      <c r="A6" s="2" t="s">
        <v>29</v>
      </c>
      <c r="B6" s="2" t="s">
        <v>47</v>
      </c>
      <c r="C6" s="2">
        <v>1.0697999999999999E-2</v>
      </c>
      <c r="D6" s="2">
        <f t="shared" si="2"/>
        <v>9.6282E-3</v>
      </c>
      <c r="E6" s="2">
        <f t="shared" si="3"/>
        <v>1.17678E-2</v>
      </c>
      <c r="F6" s="3" t="s">
        <v>1</v>
      </c>
      <c r="G6" s="2" t="s">
        <v>0</v>
      </c>
    </row>
    <row r="7" spans="1:7" x14ac:dyDescent="0.2">
      <c r="A7" s="2" t="s">
        <v>70</v>
      </c>
      <c r="B7" s="2" t="s">
        <v>47</v>
      </c>
      <c r="C7" s="2">
        <v>7.3124000000000001E-3</v>
      </c>
      <c r="D7" s="2">
        <f t="shared" ref="D7" si="4">C7*0.9</f>
        <v>6.58116E-3</v>
      </c>
      <c r="E7" s="2">
        <f t="shared" ref="E7" si="5">C7*1.1</f>
        <v>8.0436400000000012E-3</v>
      </c>
      <c r="F7" s="3" t="s">
        <v>1</v>
      </c>
      <c r="G7" s="2" t="s">
        <v>0</v>
      </c>
    </row>
    <row r="8" spans="1:7" x14ac:dyDescent="0.2">
      <c r="A8" s="2" t="s">
        <v>30</v>
      </c>
      <c r="B8" s="2" t="s">
        <v>47</v>
      </c>
      <c r="C8" s="2">
        <v>3.4791000000000002E-2</v>
      </c>
      <c r="D8" s="2">
        <f t="shared" si="2"/>
        <v>3.1311900000000004E-2</v>
      </c>
      <c r="E8" s="2">
        <f t="shared" si="3"/>
        <v>3.8270100000000008E-2</v>
      </c>
      <c r="F8" s="3" t="s">
        <v>1</v>
      </c>
      <c r="G8" s="2" t="s">
        <v>0</v>
      </c>
    </row>
    <row r="9" spans="1:7" x14ac:dyDescent="0.2">
      <c r="A9" s="2" t="s">
        <v>31</v>
      </c>
      <c r="B9" s="2" t="s">
        <v>47</v>
      </c>
      <c r="C9" s="11">
        <f>0.03472/20+19/20*C24</f>
        <v>1.7418828750000001E-3</v>
      </c>
      <c r="D9" s="2">
        <f t="shared" si="2"/>
        <v>1.5676945875000002E-3</v>
      </c>
      <c r="E9" s="2">
        <f t="shared" si="3"/>
        <v>1.9160711625000003E-3</v>
      </c>
      <c r="F9" s="3" t="s">
        <v>1</v>
      </c>
      <c r="G9" s="2" t="s">
        <v>0</v>
      </c>
    </row>
    <row r="10" spans="1:7" x14ac:dyDescent="0.2">
      <c r="A10" s="2" t="s">
        <v>32</v>
      </c>
      <c r="B10" s="2" t="s">
        <v>47</v>
      </c>
      <c r="C10" s="2">
        <v>5.0937999999999999E-3</v>
      </c>
      <c r="D10" s="2">
        <f t="shared" si="2"/>
        <v>4.5844199999999996E-3</v>
      </c>
      <c r="E10" s="2">
        <f t="shared" si="3"/>
        <v>5.6031800000000001E-3</v>
      </c>
      <c r="F10" s="3" t="s">
        <v>1</v>
      </c>
      <c r="G10" s="2" t="s">
        <v>0</v>
      </c>
    </row>
    <row r="11" spans="1:7" x14ac:dyDescent="0.2">
      <c r="A11" s="2" t="s">
        <v>33</v>
      </c>
      <c r="B11" s="2" t="s">
        <v>47</v>
      </c>
      <c r="C11" s="2">
        <v>2.6273999999999998E-3</v>
      </c>
      <c r="D11" s="2">
        <f t="shared" si="2"/>
        <v>2.3646599999999998E-3</v>
      </c>
      <c r="E11" s="2">
        <f t="shared" si="3"/>
        <v>2.8901399999999998E-3</v>
      </c>
      <c r="F11" s="3" t="s">
        <v>1</v>
      </c>
      <c r="G11" s="2" t="s">
        <v>0</v>
      </c>
    </row>
    <row r="12" spans="1:7" x14ac:dyDescent="0.2">
      <c r="A12" s="2" t="s">
        <v>34</v>
      </c>
      <c r="B12" s="2" t="s">
        <v>47</v>
      </c>
      <c r="C12" s="2">
        <v>1.8606999999999999E-2</v>
      </c>
      <c r="D12" s="2">
        <f t="shared" si="2"/>
        <v>1.6746299999999999E-2</v>
      </c>
      <c r="E12" s="2">
        <f t="shared" si="3"/>
        <v>2.0467699999999998E-2</v>
      </c>
      <c r="F12" s="3" t="s">
        <v>1</v>
      </c>
      <c r="G12" s="2" t="s">
        <v>0</v>
      </c>
    </row>
    <row r="13" spans="1:7" x14ac:dyDescent="0.2">
      <c r="A13" s="2" t="s">
        <v>35</v>
      </c>
      <c r="B13" s="2" t="s">
        <v>47</v>
      </c>
      <c r="C13" s="2">
        <v>7.0044E-3</v>
      </c>
      <c r="D13" s="2">
        <f t="shared" si="2"/>
        <v>6.3039599999999999E-3</v>
      </c>
      <c r="E13" s="2">
        <f t="shared" si="3"/>
        <v>7.704840000000001E-3</v>
      </c>
      <c r="F13" s="3" t="s">
        <v>1</v>
      </c>
      <c r="G13" s="2" t="s">
        <v>0</v>
      </c>
    </row>
    <row r="14" spans="1:7" x14ac:dyDescent="0.2">
      <c r="A14" s="2" t="s">
        <v>36</v>
      </c>
      <c r="B14" s="2" t="s">
        <v>47</v>
      </c>
      <c r="C14" s="2">
        <v>1.0029E-2</v>
      </c>
      <c r="D14" s="2">
        <f t="shared" si="2"/>
        <v>9.0261000000000004E-3</v>
      </c>
      <c r="E14" s="2">
        <f t="shared" si="3"/>
        <v>1.1031900000000001E-2</v>
      </c>
      <c r="F14" s="4" t="s">
        <v>1</v>
      </c>
      <c r="G14" s="5" t="s">
        <v>0</v>
      </c>
    </row>
    <row r="15" spans="1:7" x14ac:dyDescent="0.2">
      <c r="A15" s="2" t="s">
        <v>83</v>
      </c>
      <c r="B15" s="2" t="s">
        <v>47</v>
      </c>
      <c r="C15" s="2">
        <f>0.0063641*115.03/245.41</f>
        <v>2.9830179006560451E-3</v>
      </c>
      <c r="D15" s="2">
        <f t="shared" ref="D15:D16" si="6">C15*0.9</f>
        <v>2.6847161105904406E-3</v>
      </c>
      <c r="E15" s="2">
        <f t="shared" ref="E15:E16" si="7">C15*1.1</f>
        <v>3.28131969072165E-3</v>
      </c>
      <c r="F15" s="3" t="s">
        <v>1</v>
      </c>
      <c r="G15" s="2" t="s">
        <v>0</v>
      </c>
    </row>
    <row r="16" spans="1:7" x14ac:dyDescent="0.2">
      <c r="A16" s="2" t="s">
        <v>84</v>
      </c>
      <c r="B16" s="2" t="s">
        <v>47</v>
      </c>
      <c r="C16" s="2">
        <v>3.6741999999999997E-2</v>
      </c>
      <c r="D16" s="2">
        <f t="shared" si="6"/>
        <v>3.3067800000000001E-2</v>
      </c>
      <c r="E16" s="2">
        <f t="shared" si="7"/>
        <v>4.0416199999999999E-2</v>
      </c>
      <c r="F16" s="3" t="s">
        <v>1</v>
      </c>
      <c r="G16" s="2" t="s">
        <v>0</v>
      </c>
    </row>
    <row r="17" spans="1:7" x14ac:dyDescent="0.2">
      <c r="A17" s="2" t="s">
        <v>90</v>
      </c>
      <c r="B17" s="2" t="s">
        <v>47</v>
      </c>
      <c r="C17" s="2">
        <v>8.8329000000000001E-4</v>
      </c>
      <c r="D17" s="2">
        <f>C17*0.9</f>
        <v>7.9496100000000006E-4</v>
      </c>
      <c r="E17" s="2">
        <f>C17*1.1</f>
        <v>9.7161900000000006E-4</v>
      </c>
      <c r="F17" s="3" t="s">
        <v>1</v>
      </c>
      <c r="G17" s="2" t="s">
        <v>0</v>
      </c>
    </row>
    <row r="18" spans="1:7" x14ac:dyDescent="0.2">
      <c r="A18" s="2" t="s">
        <v>39</v>
      </c>
      <c r="B18" s="2" t="s">
        <v>47</v>
      </c>
      <c r="C18" s="2">
        <v>1.1245999999999999E-3</v>
      </c>
      <c r="D18" s="2">
        <f>C18*0.9</f>
        <v>1.0121399999999999E-3</v>
      </c>
      <c r="E18" s="2">
        <f>C18*1.1</f>
        <v>1.2370599999999999E-3</v>
      </c>
      <c r="F18" s="3" t="s">
        <v>1</v>
      </c>
      <c r="G18" s="2" t="s">
        <v>0</v>
      </c>
    </row>
    <row r="19" spans="1:7" x14ac:dyDescent="0.2">
      <c r="A19" s="2" t="s">
        <v>107</v>
      </c>
      <c r="B19" s="2" t="s">
        <v>47</v>
      </c>
      <c r="C19" s="2">
        <v>6.9251999999999996E-4</v>
      </c>
      <c r="D19" s="2">
        <f>C19*0.9</f>
        <v>6.2326799999999996E-4</v>
      </c>
      <c r="E19" s="2">
        <f>C19*1.1</f>
        <v>7.6177199999999997E-4</v>
      </c>
      <c r="F19" s="3" t="s">
        <v>1</v>
      </c>
      <c r="G19" s="2" t="s">
        <v>0</v>
      </c>
    </row>
    <row r="20" spans="1:7" x14ac:dyDescent="0.2">
      <c r="A20" s="2" t="s">
        <v>37</v>
      </c>
      <c r="B20" s="2" t="s">
        <v>47</v>
      </c>
      <c r="C20" s="2">
        <f>0.147*C37+0.1222*C35+87.3/3600*C38+2.3704*C37+0.312*C36+(1000-1000*7.8/100/101.07*207.43)/1000*C31+0.9454*C24+1000*7.8/100/1000*C32/35335*2665+1000*7.8/100/101.07*(207.43-101.07)/1000*C33+0.487*1000*7.8/100/101.07*207.43/1000*C38+2.59/1000*C34</f>
        <v>1.6167931320938957</v>
      </c>
      <c r="D20" s="2">
        <f>C20*0.9</f>
        <v>1.4551138188845063</v>
      </c>
      <c r="E20" s="2">
        <f>C20*1.1</f>
        <v>1.7784724453032854</v>
      </c>
      <c r="F20" s="3" t="s">
        <v>1</v>
      </c>
      <c r="G20" s="2" t="s">
        <v>0</v>
      </c>
    </row>
    <row r="21" spans="1:7" x14ac:dyDescent="0.2">
      <c r="A21" s="2" t="s">
        <v>38</v>
      </c>
      <c r="B21" s="2" t="s">
        <v>47</v>
      </c>
      <c r="C21" s="2">
        <f>0.4168*C36+3.358*C35+0.206*C37+1.6569*C37+0.4856*C36+0.0149*C38+1.2669*C36+0.7722*C23+0.6177*C24+0.0349*C25+0.136*C26+0.0834*C27+0.0973*C28+0.0088*C29+1.301*C30</f>
        <v>0.28751694505445002</v>
      </c>
      <c r="D21" s="2">
        <f>C21*0.9</f>
        <v>0.25876525054900501</v>
      </c>
      <c r="E21" s="2">
        <f>C21*1.1</f>
        <v>0.31626863955989504</v>
      </c>
      <c r="F21" s="3" t="s">
        <v>1</v>
      </c>
      <c r="G21" s="2" t="s">
        <v>0</v>
      </c>
    </row>
    <row r="23" spans="1:7" x14ac:dyDescent="0.2">
      <c r="A23" s="2" t="s">
        <v>100</v>
      </c>
      <c r="B23" s="2" t="s">
        <v>47</v>
      </c>
      <c r="C23" s="2">
        <v>1.1164E-2</v>
      </c>
      <c r="D23" s="2">
        <f>C23*0.9</f>
        <v>1.00476E-2</v>
      </c>
      <c r="E23" s="2">
        <f>C23*1.1</f>
        <v>1.2280400000000002E-2</v>
      </c>
      <c r="F23" s="3" t="s">
        <v>1</v>
      </c>
      <c r="G23" s="2" t="s">
        <v>0</v>
      </c>
    </row>
    <row r="24" spans="1:7" x14ac:dyDescent="0.2">
      <c r="A24" s="2" t="s">
        <v>101</v>
      </c>
      <c r="B24" s="2" t="s">
        <v>47</v>
      </c>
      <c r="C24" s="11">
        <v>6.1924999999999996E-6</v>
      </c>
      <c r="D24" s="2">
        <f>C24*0.9</f>
        <v>5.5732499999999995E-6</v>
      </c>
      <c r="E24" s="2">
        <f>C24*1.1</f>
        <v>6.8117500000000005E-6</v>
      </c>
      <c r="F24" s="3" t="s">
        <v>1</v>
      </c>
      <c r="G24" s="2" t="s">
        <v>0</v>
      </c>
    </row>
    <row r="25" spans="1:7" x14ac:dyDescent="0.2">
      <c r="A25" s="2" t="s">
        <v>102</v>
      </c>
      <c r="B25" s="2" t="s">
        <v>47</v>
      </c>
      <c r="C25" s="2">
        <v>6.2976000000000004E-2</v>
      </c>
      <c r="D25" s="2">
        <f>C25*0.9</f>
        <v>5.6678400000000004E-2</v>
      </c>
      <c r="E25" s="2">
        <f>C25*1.1</f>
        <v>6.9273600000000005E-2</v>
      </c>
      <c r="F25" s="3" t="s">
        <v>1</v>
      </c>
      <c r="G25" s="2" t="s">
        <v>0</v>
      </c>
    </row>
    <row r="26" spans="1:7" x14ac:dyDescent="0.2">
      <c r="A26" s="2" t="s">
        <v>103</v>
      </c>
      <c r="B26" s="2" t="s">
        <v>47</v>
      </c>
      <c r="C26" s="2">
        <v>0.10345</v>
      </c>
      <c r="D26" s="2">
        <f>C26*0.9</f>
        <v>9.3105000000000007E-2</v>
      </c>
      <c r="E26" s="2">
        <f>C26*1.1</f>
        <v>0.11379500000000001</v>
      </c>
      <c r="F26" s="3" t="s">
        <v>1</v>
      </c>
      <c r="G26" s="2" t="s">
        <v>0</v>
      </c>
    </row>
    <row r="27" spans="1:7" x14ac:dyDescent="0.2">
      <c r="A27" s="2" t="s">
        <v>104</v>
      </c>
      <c r="B27" s="2" t="s">
        <v>47</v>
      </c>
      <c r="C27" s="2">
        <v>3.1156000000000001</v>
      </c>
      <c r="D27" s="2">
        <f>C27*0.9</f>
        <v>2.8040400000000001</v>
      </c>
      <c r="E27" s="2">
        <f>C27*1.1</f>
        <v>3.4271600000000007</v>
      </c>
      <c r="F27" s="3" t="s">
        <v>1</v>
      </c>
      <c r="G27" s="2" t="s">
        <v>0</v>
      </c>
    </row>
    <row r="28" spans="1:7" x14ac:dyDescent="0.2">
      <c r="A28" s="2" t="s">
        <v>105</v>
      </c>
      <c r="B28" s="2" t="s">
        <v>47</v>
      </c>
      <c r="C28" s="2">
        <v>1.5154E-4</v>
      </c>
      <c r="D28" s="2">
        <f>C28*0.9</f>
        <v>1.3638600000000001E-4</v>
      </c>
      <c r="E28" s="2">
        <f>C28*1.1</f>
        <v>1.6669400000000003E-4</v>
      </c>
      <c r="F28" s="3" t="s">
        <v>1</v>
      </c>
      <c r="G28" s="2" t="s">
        <v>0</v>
      </c>
    </row>
    <row r="29" spans="1:7" x14ac:dyDescent="0.2">
      <c r="A29" s="2" t="s">
        <v>106</v>
      </c>
      <c r="B29" s="2" t="s">
        <v>47</v>
      </c>
      <c r="C29" s="2">
        <v>2.6273999999999998E-3</v>
      </c>
      <c r="D29" s="2">
        <f>C29*0.9</f>
        <v>2.3646599999999998E-3</v>
      </c>
      <c r="E29" s="2">
        <f>C29*1.1</f>
        <v>2.8901399999999998E-3</v>
      </c>
      <c r="F29" s="3" t="s">
        <v>1</v>
      </c>
      <c r="G29" s="2" t="s">
        <v>0</v>
      </c>
    </row>
    <row r="30" spans="1:7" x14ac:dyDescent="0.2">
      <c r="A30" s="2" t="s">
        <v>107</v>
      </c>
      <c r="B30" s="2" t="s">
        <v>47</v>
      </c>
      <c r="C30" s="2">
        <v>6.9251999999999996E-4</v>
      </c>
      <c r="D30" s="2">
        <f>C30*0.9</f>
        <v>6.2326799999999996E-4</v>
      </c>
      <c r="E30" s="2">
        <f>C30*1.1</f>
        <v>7.6177199999999997E-4</v>
      </c>
      <c r="F30" s="3" t="s">
        <v>1</v>
      </c>
      <c r="G30" s="2" t="s">
        <v>0</v>
      </c>
    </row>
    <row r="31" spans="1:7" x14ac:dyDescent="0.2">
      <c r="A31" s="2" t="s">
        <v>108</v>
      </c>
      <c r="B31" s="2" t="s">
        <v>47</v>
      </c>
      <c r="C31" s="2">
        <v>8.2915000000000003E-3</v>
      </c>
      <c r="D31" s="2">
        <f>C31*0.9</f>
        <v>7.4623500000000004E-3</v>
      </c>
      <c r="E31" s="2">
        <f>C31*1.1</f>
        <v>9.120650000000001E-3</v>
      </c>
      <c r="F31" s="3" t="s">
        <v>1</v>
      </c>
      <c r="G31" s="2" t="s">
        <v>0</v>
      </c>
    </row>
    <row r="32" spans="1:7" x14ac:dyDescent="0.2">
      <c r="A32" s="2" t="s">
        <v>129</v>
      </c>
      <c r="B32" s="2" t="s">
        <v>47</v>
      </c>
      <c r="C32" s="2">
        <v>273.49</v>
      </c>
      <c r="D32" s="2">
        <f>C32*0.9</f>
        <v>246.14100000000002</v>
      </c>
      <c r="E32" s="2">
        <f>C32*1.1</f>
        <v>300.83900000000006</v>
      </c>
      <c r="F32" s="3" t="s">
        <v>1</v>
      </c>
      <c r="G32" s="2" t="s">
        <v>0</v>
      </c>
    </row>
    <row r="33" spans="1:7" x14ac:dyDescent="0.2">
      <c r="A33" s="2" t="s">
        <v>109</v>
      </c>
      <c r="B33" s="2" t="s">
        <v>47</v>
      </c>
      <c r="C33" s="2">
        <v>5.1836E-3</v>
      </c>
      <c r="D33" s="2">
        <f>C33*0.9</f>
        <v>4.6652400000000002E-3</v>
      </c>
      <c r="E33" s="2">
        <f>C33*1.1</f>
        <v>5.7019600000000007E-3</v>
      </c>
      <c r="F33" s="3" t="s">
        <v>1</v>
      </c>
      <c r="G33" s="2" t="s">
        <v>0</v>
      </c>
    </row>
    <row r="34" spans="1:7" x14ac:dyDescent="0.2">
      <c r="A34" s="2" t="s">
        <v>110</v>
      </c>
      <c r="B34" s="2" t="s">
        <v>47</v>
      </c>
      <c r="C34" s="2">
        <v>7.0381999999999997E-4</v>
      </c>
      <c r="D34" s="2">
        <f>C34*0.9</f>
        <v>6.3343799999999995E-4</v>
      </c>
      <c r="E34" s="2">
        <f>C34*1.1</f>
        <v>7.7420199999999998E-4</v>
      </c>
      <c r="F34" s="3" t="s">
        <v>1</v>
      </c>
      <c r="G34" s="2" t="s">
        <v>0</v>
      </c>
    </row>
    <row r="35" spans="1:7" x14ac:dyDescent="0.2">
      <c r="A35" s="2" t="s">
        <v>122</v>
      </c>
      <c r="B35" s="2" t="s">
        <v>47</v>
      </c>
      <c r="C35" s="2">
        <v>4.1813000000000001E-4</v>
      </c>
      <c r="D35" s="2">
        <f>C35*0.9</f>
        <v>3.7631700000000004E-4</v>
      </c>
      <c r="E35" s="2">
        <f>C35*1.1</f>
        <v>4.5994300000000004E-4</v>
      </c>
      <c r="F35" s="3" t="s">
        <v>1</v>
      </c>
      <c r="G35" s="2" t="s">
        <v>0</v>
      </c>
    </row>
    <row r="36" spans="1:7" x14ac:dyDescent="0.2">
      <c r="A36" s="2" t="s">
        <v>90</v>
      </c>
      <c r="B36" s="2" t="s">
        <v>47</v>
      </c>
      <c r="C36" s="11">
        <v>9.1864E-5</v>
      </c>
      <c r="D36" s="2">
        <f>C36*0.9</f>
        <v>8.2677599999999996E-5</v>
      </c>
      <c r="E36" s="2">
        <f>C36*1.1</f>
        <v>1.010504E-4</v>
      </c>
      <c r="F36" s="3" t="s">
        <v>1</v>
      </c>
      <c r="G36" s="2" t="s">
        <v>0</v>
      </c>
    </row>
    <row r="37" spans="1:7" x14ac:dyDescent="0.2">
      <c r="A37" s="2" t="s">
        <v>123</v>
      </c>
      <c r="B37" s="2" t="s">
        <v>47</v>
      </c>
      <c r="C37" s="2">
        <v>1.209E-4</v>
      </c>
      <c r="D37" s="2">
        <f>C37*0.9</f>
        <v>1.0881E-4</v>
      </c>
      <c r="E37" s="2">
        <f>C37*1.1</f>
        <v>1.3299000000000001E-4</v>
      </c>
      <c r="F37" s="3" t="s">
        <v>1</v>
      </c>
      <c r="G37" s="2" t="s">
        <v>0</v>
      </c>
    </row>
    <row r="38" spans="1:7" x14ac:dyDescent="0.2">
      <c r="A38" s="2" t="s">
        <v>39</v>
      </c>
      <c r="B38" s="2" t="s">
        <v>47</v>
      </c>
      <c r="C38" s="2">
        <v>1.1245999999999999E-3</v>
      </c>
      <c r="D38" s="2">
        <f>C38*0.9</f>
        <v>1.0121399999999999E-3</v>
      </c>
      <c r="E38" s="2">
        <f>C38*1.1</f>
        <v>1.2370599999999999E-3</v>
      </c>
      <c r="F38" s="3" t="s">
        <v>1</v>
      </c>
      <c r="G38" s="2" t="s"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info</vt:lpstr>
      <vt:lpstr>template</vt:lpstr>
      <vt:lpstr>Acidification</vt:lpstr>
      <vt:lpstr>Ecotoxicity</vt:lpstr>
      <vt:lpstr>Eutrophication</vt:lpstr>
      <vt:lpstr>GlobalWarming</vt:lpstr>
      <vt:lpstr>OzoneDepletion</vt:lpstr>
      <vt:lpstr>PhotochemicalOxidation</vt:lpstr>
      <vt:lpstr>Carcinogenics</vt:lpstr>
      <vt:lpstr>NonCarcinogenics</vt:lpstr>
      <vt:lpstr>RespiratoryEffects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Feng, Jianan</cp:lastModifiedBy>
  <dcterms:created xsi:type="dcterms:W3CDTF">2020-11-13T14:42:01Z</dcterms:created>
  <dcterms:modified xsi:type="dcterms:W3CDTF">2022-12-03T02:35:14Z</dcterms:modified>
</cp:coreProperties>
</file>