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pm2_ecorecover\data\"/>
    </mc:Choice>
  </mc:AlternateContent>
  <xr:revisionPtr revIDLastSave="0" documentId="13_ncr:1_{4F2A9EDB-2EB5-4DAF-8F08-7AD06AF2F4BD}" xr6:coauthVersionLast="36" xr6:coauthVersionMax="36" xr10:uidLastSave="{00000000-0000-0000-0000-000000000000}"/>
  <bookViews>
    <workbookView xWindow="0" yWindow="0" windowWidth="28800" windowHeight="12180" activeTab="2" xr2:uid="{DDF619FE-EB2A-46FB-BA68-BAD48C3E9660}"/>
  </bookViews>
  <sheets>
    <sheet name="original" sheetId="1" r:id="rId1"/>
    <sheet name="change" sheetId="2" r:id="rId2"/>
    <sheet name="cali perio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B24" i="3" l="1"/>
  <c r="E6" i="3"/>
  <c r="F6" i="3" s="1"/>
  <c r="C33" i="3" l="1"/>
  <c r="C29" i="3"/>
  <c r="E29" i="3"/>
  <c r="M29" i="3" s="1"/>
  <c r="G29" i="3"/>
  <c r="C37" i="3"/>
  <c r="I29" i="3" l="1"/>
  <c r="J29" i="3" s="1"/>
  <c r="K29" i="3" s="1"/>
  <c r="N29" i="3"/>
  <c r="O29" i="3" s="1"/>
  <c r="K32" i="3"/>
  <c r="D14" i="3"/>
  <c r="D13" i="3" s="1"/>
  <c r="D12" i="3" s="1"/>
  <c r="D11" i="3" s="1"/>
  <c r="Q29" i="3"/>
  <c r="R29" i="3" s="1"/>
  <c r="E14" i="3" l="1"/>
  <c r="E13" i="3" s="1"/>
  <c r="E12" i="3" s="1"/>
  <c r="E11" i="3" s="1"/>
  <c r="O32" i="3"/>
  <c r="E37" i="3"/>
  <c r="G37" i="3" s="1"/>
  <c r="T32" i="3" s="1"/>
  <c r="E33" i="3"/>
  <c r="G33" i="3" s="1"/>
  <c r="R32" i="3"/>
  <c r="C14" i="3"/>
  <c r="B14" i="3" l="1"/>
  <c r="C13" i="3"/>
  <c r="M14" i="3"/>
  <c r="M13" i="3" s="1"/>
  <c r="M12" i="3" s="1"/>
  <c r="M11" i="3" s="1"/>
  <c r="H33" i="3"/>
  <c r="H37" i="3"/>
  <c r="N14" i="3"/>
  <c r="N13" i="3" s="1"/>
  <c r="N12" i="3" s="1"/>
  <c r="N11" i="3" s="1"/>
  <c r="B13" i="3" l="1"/>
  <c r="C12" i="3"/>
  <c r="B12" i="3" l="1"/>
  <c r="B11" i="3" s="1"/>
  <c r="C11" i="3"/>
  <c r="N11" i="2" l="1"/>
  <c r="M11" i="2"/>
  <c r="E11" i="2"/>
  <c r="D11" i="2"/>
  <c r="C11" i="2"/>
  <c r="B11" i="2"/>
  <c r="C13" i="2"/>
  <c r="E13" i="2"/>
  <c r="E12" i="2" s="1"/>
  <c r="D13" i="2"/>
  <c r="M13" i="2"/>
  <c r="M12" i="2" s="1"/>
  <c r="N13" i="2"/>
  <c r="N12" i="2" s="1"/>
  <c r="D12" i="2"/>
  <c r="C12" i="2"/>
  <c r="C33" i="2" l="1"/>
  <c r="C37" i="2"/>
  <c r="G29" i="2"/>
  <c r="C29" i="2"/>
  <c r="E29" i="2"/>
  <c r="B24" i="2"/>
  <c r="F6" i="2"/>
  <c r="E6" i="2"/>
  <c r="T32" i="1"/>
  <c r="O32" i="1"/>
  <c r="R32" i="1"/>
  <c r="K32" i="1"/>
  <c r="F6" i="1"/>
  <c r="E6" i="1"/>
  <c r="G29" i="1"/>
  <c r="B24" i="1"/>
  <c r="C37" i="1" s="1"/>
  <c r="B14" i="1"/>
  <c r="B13" i="1"/>
  <c r="B12" i="1"/>
  <c r="B11" i="1"/>
  <c r="C33" i="1" l="1"/>
  <c r="C29" i="1"/>
  <c r="E29" i="1"/>
  <c r="M29" i="2" l="1"/>
  <c r="N29" i="2" s="1"/>
  <c r="O29" i="2" s="1"/>
  <c r="I29" i="2"/>
  <c r="J29" i="2" s="1"/>
  <c r="K29" i="2" s="1"/>
  <c r="M29" i="1"/>
  <c r="N29" i="1" s="1"/>
  <c r="O29" i="1" s="1"/>
  <c r="I29" i="1"/>
  <c r="Q29" i="1" s="1"/>
  <c r="R29" i="1" s="1"/>
  <c r="K32" i="2" l="1"/>
  <c r="D14" i="2"/>
  <c r="O32" i="2"/>
  <c r="E14" i="2"/>
  <c r="Q29" i="2"/>
  <c r="R29" i="2" s="1"/>
  <c r="E37" i="1"/>
  <c r="G37" i="1" s="1"/>
  <c r="E33" i="1"/>
  <c r="G33" i="1" s="1"/>
  <c r="J29" i="1"/>
  <c r="K29" i="1" s="1"/>
  <c r="C14" i="2" l="1"/>
  <c r="B14" i="2" s="1"/>
  <c r="B13" i="2"/>
  <c r="E33" i="2"/>
  <c r="G33" i="2" s="1"/>
  <c r="H33" i="2" s="1"/>
  <c r="B12" i="2"/>
  <c r="E37" i="2"/>
  <c r="G37" i="2" s="1"/>
  <c r="H37" i="2" s="1"/>
  <c r="R32" i="2"/>
  <c r="N14" i="2" l="1"/>
  <c r="M14" i="2" l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F4E2FBEA-00D9-455C-AA0F-C2EDE5A814E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740BAAA4-EB36-47BC-B139-F190327E78C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FD6C8ABE-F72B-4DDE-BD06-864D0AEEBF6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09362085-B99F-4449-BE5E-F527E868BD5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5C40E693-9EC5-484A-B2EA-FF394DCD60E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C2B014CD-4ED9-4703-A4D2-49E22784303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35C46F6B-EE3F-43F0-B9AC-23CFF641A3F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C80E6C8C-388E-4A8C-BC5C-866FF6A79B5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5BC95BDA-9273-4646-9EC8-365E3BA88FC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A9271BE8-4A9C-4451-A292-5A3884A3720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234FE0B5-AB95-4819-884C-DD6754348CAD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12, AIMS Report</t>
        </r>
      </text>
    </comment>
    <comment ref="K11" authorId="0" shapeId="0" xr:uid="{39713CBD-8DBD-4266-A5DF-B3E24AC9073B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12, AIMS Report</t>
        </r>
      </text>
    </comment>
    <comment ref="K12" authorId="0" shapeId="0" xr:uid="{7358C7F4-3FFB-4563-A056-EFAF1926607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448143A6-6155-4A23-A674-2D5B2062501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3987D909-11C7-4F29-872A-7083AE8B7F9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sharedStrings.xml><?xml version="1.0" encoding="utf-8"?>
<sst xmlns="http://schemas.openxmlformats.org/spreadsheetml/2006/main" count="166" uniqueCount="53">
  <si>
    <t>at Day0 (2022-03-12  12:00:00 AM)</t>
    <phoneticPr fontId="3" type="noConversion"/>
  </si>
  <si>
    <t>nh4_inf</t>
    <phoneticPr fontId="3" type="noConversion"/>
  </si>
  <si>
    <t>po4_inf</t>
    <phoneticPr fontId="3" type="noConversion"/>
  </si>
  <si>
    <t>no3_inf</t>
    <phoneticPr fontId="3" type="noConversion"/>
  </si>
  <si>
    <t>tss_ret</t>
    <phoneticPr fontId="3" type="noConversion"/>
  </si>
  <si>
    <t>g COD/m3</t>
    <phoneticPr fontId="3" type="noConversion"/>
  </si>
  <si>
    <t>do_postpbr</t>
    <phoneticPr fontId="3" type="noConversion"/>
  </si>
  <si>
    <t>X_CHL</t>
  </si>
  <si>
    <t>X_ALG</t>
  </si>
  <si>
    <t>X_CH</t>
  </si>
  <si>
    <t>X_LI</t>
  </si>
  <si>
    <t>S_CO2</t>
  </si>
  <si>
    <t>S_A</t>
  </si>
  <si>
    <t>S_F</t>
  </si>
  <si>
    <t>S_O2</t>
  </si>
  <si>
    <t>S_NH</t>
  </si>
  <si>
    <t>S_NO</t>
  </si>
  <si>
    <t>S_P</t>
  </si>
  <si>
    <t>X_N_ALG</t>
  </si>
  <si>
    <t>X_P_ALG</t>
  </si>
  <si>
    <t>MIX</t>
    <phoneticPr fontId="3" type="noConversion"/>
  </si>
  <si>
    <t>PBR</t>
    <phoneticPr fontId="3" type="noConversion"/>
  </si>
  <si>
    <t>MEV</t>
    <phoneticPr fontId="3" type="noConversion"/>
  </si>
  <si>
    <t>RET</t>
    <phoneticPr fontId="3" type="noConversion"/>
  </si>
  <si>
    <t>X_ALG * 0.005</t>
    <phoneticPr fontId="3" type="noConversion"/>
  </si>
  <si>
    <t>arbitrary</t>
  </si>
  <si>
    <t>Assumptions</t>
    <phoneticPr fontId="3" type="noConversion"/>
  </si>
  <si>
    <t>algae (g COD/m3)</t>
    <phoneticPr fontId="3" type="noConversion"/>
  </si>
  <si>
    <t>algae(g TSS/m3)</t>
    <phoneticPr fontId="3" type="noConversion"/>
  </si>
  <si>
    <t>nitrogen (%)</t>
    <phoneticPr fontId="3" type="noConversion"/>
  </si>
  <si>
    <t>phosphorus(%)</t>
    <phoneticPr fontId="3" type="noConversion"/>
  </si>
  <si>
    <t xml:space="preserve">total carbohydrate </t>
    <phoneticPr fontId="2" type="noConversion"/>
  </si>
  <si>
    <t>total protein</t>
    <phoneticPr fontId="2" type="noConversion"/>
  </si>
  <si>
    <t>total lipid</t>
    <phoneticPr fontId="2" type="noConversion"/>
  </si>
  <si>
    <t>X_CH_min</t>
    <phoneticPr fontId="2" type="noConversion"/>
  </si>
  <si>
    <t>X_CH</t>
    <phoneticPr fontId="2" type="noConversion"/>
  </si>
  <si>
    <t>X_CH(g COD/m3)</t>
    <phoneticPr fontId="2" type="noConversion"/>
  </si>
  <si>
    <t>X_LI_min</t>
    <phoneticPr fontId="2" type="noConversion"/>
  </si>
  <si>
    <t>X_LI</t>
    <phoneticPr fontId="2" type="noConversion"/>
  </si>
  <si>
    <t>X_LI(g COD/m3)</t>
    <phoneticPr fontId="2" type="noConversion"/>
  </si>
  <si>
    <t>X_ALG</t>
    <phoneticPr fontId="2" type="noConversion"/>
  </si>
  <si>
    <t>X_ALG(g COD/m3)</t>
    <phoneticPr fontId="2" type="noConversion"/>
  </si>
  <si>
    <t>total nitrogen</t>
    <phoneticPr fontId="3" type="noConversion"/>
  </si>
  <si>
    <t>biomass N</t>
    <phoneticPr fontId="3" type="noConversion"/>
  </si>
  <si>
    <t>X_N_ALG</t>
    <phoneticPr fontId="3" type="noConversion"/>
  </si>
  <si>
    <t>total phosphorus</t>
    <phoneticPr fontId="3" type="noConversion"/>
  </si>
  <si>
    <t>biomass P</t>
    <phoneticPr fontId="3" type="noConversion"/>
  </si>
  <si>
    <t>X_P_ALG</t>
    <phoneticPr fontId="3" type="noConversion"/>
  </si>
  <si>
    <t>VSS</t>
    <phoneticPr fontId="2" type="noConversion"/>
  </si>
  <si>
    <t>g TSS/m3</t>
    <phoneticPr fontId="2" type="noConversion"/>
  </si>
  <si>
    <t>Q_N</t>
    <phoneticPr fontId="2" type="noConversion"/>
  </si>
  <si>
    <t>Q_P</t>
    <phoneticPr fontId="2" type="noConversion"/>
  </si>
  <si>
    <t>at Day5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</si>
</sst>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2" fontId="0" fillId="2" borderId="0" xfId="0" applyNumberFormat="1" applyFill="1" applyAlignment="1"/>
    <xf numFmtId="2" fontId="0" fillId="3" borderId="0" xfId="0" applyNumberFormat="1" applyFill="1" applyBorder="1" applyAlignment="1"/>
    <xf numFmtId="2" fontId="0" fillId="0" borderId="0" xfId="0" applyNumberFormat="1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5" borderId="0" xfId="0" applyFill="1" applyAlignment="1"/>
    <xf numFmtId="0" fontId="0" fillId="2" borderId="0" xfId="0" applyFill="1" applyAlignment="1"/>
    <xf numFmtId="0" fontId="0" fillId="2" borderId="0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8E9EB1-B911-48F8-8F97-C532439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DCAE2A-B124-472A-9DD0-895A85055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F43-CF6C-40D1-A072-9D16B629B470}">
  <dimension ref="A1:T37"/>
  <sheetViews>
    <sheetView topLeftCell="A14" workbookViewId="0">
      <selection activeCell="E29" sqref="E29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C11*0.005</f>
        <v>2.3059157484625543</v>
      </c>
      <c r="C11" s="2">
        <v>461.18314969251088</v>
      </c>
      <c r="D11" s="4">
        <v>11.34256759584221</v>
      </c>
      <c r="E11" s="4">
        <v>59.575589993722659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v>2.9438525027726499</v>
      </c>
      <c r="N11" s="4">
        <v>10.547107200194688</v>
      </c>
    </row>
    <row r="12" spans="1:14" x14ac:dyDescent="0.3">
      <c r="A12" s="1" t="s">
        <v>21</v>
      </c>
      <c r="B12" s="4">
        <f t="shared" ref="B12:B14" si="0">C12*0.005</f>
        <v>2.3059157484625543</v>
      </c>
      <c r="C12" s="2">
        <v>461.18314969251088</v>
      </c>
      <c r="D12" s="4">
        <v>11.34256759584221</v>
      </c>
      <c r="E12" s="4">
        <v>59.575589993722659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v>2.9438525027726499</v>
      </c>
      <c r="N12" s="4">
        <v>10.547107200194688</v>
      </c>
    </row>
    <row r="13" spans="1:14" x14ac:dyDescent="0.3">
      <c r="A13" s="1" t="s">
        <v>22</v>
      </c>
      <c r="B13" s="4">
        <f t="shared" si="0"/>
        <v>2.3059157484625543</v>
      </c>
      <c r="C13" s="2">
        <v>461.18314969251088</v>
      </c>
      <c r="D13" s="4">
        <v>11.34256759584221</v>
      </c>
      <c r="E13" s="4">
        <v>59.575589993722659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v>2.9438525027726499</v>
      </c>
      <c r="N13" s="4">
        <v>10.547107200194688</v>
      </c>
    </row>
    <row r="14" spans="1:14" x14ac:dyDescent="0.3">
      <c r="A14" s="1" t="s">
        <v>23</v>
      </c>
      <c r="B14" s="4">
        <f t="shared" si="0"/>
        <v>2.3059157484625543</v>
      </c>
      <c r="C14" s="2">
        <v>461.18314969251088</v>
      </c>
      <c r="D14" s="4">
        <v>11.342567595842199</v>
      </c>
      <c r="E14" s="4">
        <v>59.575589993722659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v>2.9438525027726499</v>
      </c>
      <c r="N14" s="4">
        <v>10.547107200194688</v>
      </c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0.04</v>
      </c>
    </row>
    <row r="25" spans="1:20" x14ac:dyDescent="0.3">
      <c r="F25" s="7"/>
    </row>
    <row r="26" spans="1:20" x14ac:dyDescent="0.3">
      <c r="B26" s="8"/>
      <c r="C26" s="9">
        <v>0.13</v>
      </c>
      <c r="D26" s="8"/>
      <c r="E26" s="9">
        <v>0.56000000000000005</v>
      </c>
      <c r="F26" s="8"/>
      <c r="G26" s="9">
        <v>0.13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B24*0.13</f>
        <v>58.628338112822462</v>
      </c>
      <c r="D29" s="8"/>
      <c r="E29" s="8">
        <f>B24*0.56</f>
        <v>252.55284110138908</v>
      </c>
      <c r="F29" s="8"/>
      <c r="G29" s="8">
        <f>B24*0.13</f>
        <v>58.628338112822462</v>
      </c>
      <c r="H29" s="8"/>
      <c r="I29" s="8">
        <f>E29*0.19</f>
        <v>47.985039809263924</v>
      </c>
      <c r="J29" s="8">
        <f>C29-I29</f>
        <v>10.643298303558538</v>
      </c>
      <c r="K29" s="14">
        <f>J29/0.93835</f>
        <v>11.34256759584221</v>
      </c>
      <c r="L29" s="8"/>
      <c r="M29" s="8">
        <f>E29*0.15</f>
        <v>37.88292616520836</v>
      </c>
      <c r="N29" s="8">
        <f>G29-M29</f>
        <v>20.745411947614102</v>
      </c>
      <c r="O29" s="14">
        <f>N29/0.34822</f>
        <v>59.575589993722659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K32" s="1">
        <f>K29*0.93835</f>
        <v>10.643298303558538</v>
      </c>
      <c r="O32" s="1">
        <f>O29*0.34822</f>
        <v>20.745411947614102</v>
      </c>
      <c r="R32" s="1">
        <f>R29*0.73381</f>
        <v>338.42080707586138</v>
      </c>
      <c r="T32" s="17">
        <f>SUM(K32,O32,R32,G33,G37)</f>
        <v>383.30047703000139</v>
      </c>
    </row>
    <row r="33" spans="3:7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</row>
    <row r="36" spans="3:7" x14ac:dyDescent="0.3">
      <c r="C36" s="1" t="s">
        <v>45</v>
      </c>
      <c r="E36" s="1" t="s">
        <v>46</v>
      </c>
      <c r="G36" s="16" t="s">
        <v>47</v>
      </c>
    </row>
    <row r="37" spans="3:7" x14ac:dyDescent="0.3">
      <c r="C37" s="1">
        <f>B24*F24</f>
        <v>18.039488650099219</v>
      </c>
      <c r="E37" s="1">
        <f>R29*0.016246</f>
        <v>7.4923814499045314</v>
      </c>
      <c r="G37" s="14">
        <f>C37-E37</f>
        <v>10.547107200194688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6656-EE1A-439F-B8E1-204F50EA4569}">
  <dimension ref="A1:T37"/>
  <sheetViews>
    <sheetView zoomScale="60" zoomScaleNormal="60" workbookViewId="0">
      <selection activeCell="F53" sqref="F53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1.8633662613838826</v>
      </c>
      <c r="C11" s="2">
        <f>C12</f>
        <v>372.67325227677651</v>
      </c>
      <c r="D11" s="4">
        <f>D12</f>
        <v>16.933263043270678</v>
      </c>
      <c r="E11" s="4">
        <f>E12</f>
        <v>69.073147818808863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f>M12</f>
        <v>2.3788707093112325</v>
      </c>
      <c r="N11" s="4">
        <f>N12</f>
        <v>0.14093028394960502</v>
      </c>
    </row>
    <row r="12" spans="1:14" x14ac:dyDescent="0.3">
      <c r="A12" s="1" t="s">
        <v>21</v>
      </c>
      <c r="B12" s="4">
        <f t="shared" ref="B12:B14" si="0">C12*0.005</f>
        <v>1.8633662613838826</v>
      </c>
      <c r="C12" s="2">
        <f>C13/1.65</f>
        <v>372.67325227677651</v>
      </c>
      <c r="D12" s="4">
        <f>D13/1.65</f>
        <v>16.933263043270678</v>
      </c>
      <c r="E12" s="4">
        <f>E13/1.65</f>
        <v>69.073147818808863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f>M13/1.65</f>
        <v>2.3788707093112325</v>
      </c>
      <c r="N12" s="4">
        <f>N13/1.65</f>
        <v>0.14093028394960502</v>
      </c>
    </row>
    <row r="13" spans="1:14" x14ac:dyDescent="0.3">
      <c r="A13" s="1" t="s">
        <v>22</v>
      </c>
      <c r="B13" s="4">
        <f t="shared" si="0"/>
        <v>3.0745543312834061</v>
      </c>
      <c r="C13" s="2">
        <f>C14/0.75</f>
        <v>614.91086625668117</v>
      </c>
      <c r="D13" s="4">
        <f>D14/0.75</f>
        <v>27.939884021396619</v>
      </c>
      <c r="E13" s="4">
        <f>E14/0.75</f>
        <v>113.97069390103462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f>M14/0.75</f>
        <v>3.9251366703635333</v>
      </c>
      <c r="N13" s="4">
        <f>N14/0.75</f>
        <v>0.23253496851684829</v>
      </c>
    </row>
    <row r="14" spans="1:14" x14ac:dyDescent="0.3">
      <c r="A14" s="1" t="s">
        <v>23</v>
      </c>
      <c r="B14" s="4">
        <f t="shared" si="0"/>
        <v>2.3059157484625543</v>
      </c>
      <c r="C14" s="2">
        <f>R29</f>
        <v>461.18314969251088</v>
      </c>
      <c r="D14" s="4">
        <f>K29</f>
        <v>20.954913016047463</v>
      </c>
      <c r="E14" s="4">
        <f>O29</f>
        <v>85.478020425775966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f>G33</f>
        <v>2.9438525027726499</v>
      </c>
      <c r="N14" s="4">
        <f>G37</f>
        <v>0.17440122638763622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67.648082437872063</v>
      </c>
      <c r="D29" s="8"/>
      <c r="E29" s="8">
        <f>B24*E26</f>
        <v>252.55284110138908</v>
      </c>
      <c r="F29" s="8"/>
      <c r="G29" s="8">
        <f>B24*G26</f>
        <v>67.648082437872063</v>
      </c>
      <c r="H29" s="8"/>
      <c r="I29" s="8">
        <f>E29*0.19</f>
        <v>47.985039809263924</v>
      </c>
      <c r="J29" s="8">
        <f>C29-I29</f>
        <v>19.663042628608139</v>
      </c>
      <c r="K29" s="14">
        <f>J29/0.93835</f>
        <v>20.954913016047463</v>
      </c>
      <c r="L29" s="8"/>
      <c r="M29" s="8">
        <f>E29*0.15</f>
        <v>37.88292616520836</v>
      </c>
      <c r="N29" s="8">
        <f>G29-M29</f>
        <v>29.765156272663702</v>
      </c>
      <c r="O29" s="14">
        <f>N29/0.34822</f>
        <v>85.478020425775966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19.663042628608139</v>
      </c>
      <c r="O32" s="1">
        <f>O29*0.34822</f>
        <v>29.765156272663706</v>
      </c>
      <c r="R32" s="1">
        <f>R29*0.73381</f>
        <v>338.42080707586138</v>
      </c>
      <c r="T32" s="17">
        <f>SUM(K32,O32,R32,G33,G37)</f>
        <v>390.96725970629353</v>
      </c>
    </row>
    <row r="33" spans="3:8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7.6667826762921676</v>
      </c>
      <c r="E37" s="1">
        <f>R29*0.016246</f>
        <v>7.4923814499045314</v>
      </c>
      <c r="G37" s="14">
        <f>C37-E37</f>
        <v>0.17440122638763622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F2C-516A-4DC7-8CC2-83495AB979A0}">
  <dimension ref="A1:T37"/>
  <sheetViews>
    <sheetView tabSelected="1" zoomScale="60" zoomScaleNormal="60" workbookViewId="0">
      <selection activeCell="L7" sqref="L7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52</v>
      </c>
    </row>
    <row r="3" spans="1:14" x14ac:dyDescent="0.3">
      <c r="A3" s="1" t="s">
        <v>1</v>
      </c>
      <c r="B3" s="1">
        <v>35.804091778642068</v>
      </c>
    </row>
    <row r="4" spans="1:14" x14ac:dyDescent="0.3">
      <c r="A4" s="1" t="s">
        <v>2</v>
      </c>
      <c r="B4" s="1">
        <v>0.35744153755741681</v>
      </c>
    </row>
    <row r="5" spans="1:14" x14ac:dyDescent="0.3">
      <c r="A5" s="1" t="s">
        <v>3</v>
      </c>
      <c r="B5" s="19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1">
        <v>845.53361404097905</v>
      </c>
      <c r="C6" s="1" t="s">
        <v>5</v>
      </c>
      <c r="E6" s="1">
        <f>B6*0.73381</f>
        <v>620.46102131941075</v>
      </c>
      <c r="F6" s="17">
        <f>E6*0.89</f>
        <v>552.21030897427556</v>
      </c>
    </row>
    <row r="7" spans="1:14" x14ac:dyDescent="0.3">
      <c r="A7" s="1" t="s">
        <v>6</v>
      </c>
      <c r="B7" s="18"/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2.5635895918236393</v>
      </c>
      <c r="C11" s="2">
        <f>C12</f>
        <v>512.71791836472789</v>
      </c>
      <c r="D11" s="4">
        <f>D12</f>
        <v>23.296513301201955</v>
      </c>
      <c r="E11" s="4">
        <f>E12</f>
        <v>95.029735426938615</v>
      </c>
      <c r="F11" s="4">
        <v>30</v>
      </c>
      <c r="G11" s="4">
        <v>5</v>
      </c>
      <c r="H11" s="4">
        <v>5</v>
      </c>
      <c r="I11" s="4">
        <v>5</v>
      </c>
      <c r="J11" s="1">
        <v>35.804091778642068</v>
      </c>
      <c r="K11" s="19">
        <v>0.7</v>
      </c>
      <c r="L11" s="1">
        <v>0.35744153755741681</v>
      </c>
      <c r="M11" s="4">
        <f>M12</f>
        <v>3.2728123917813194</v>
      </c>
      <c r="N11" s="4">
        <f>N12</f>
        <v>0.19388963758399141</v>
      </c>
    </row>
    <row r="12" spans="1:14" x14ac:dyDescent="0.3">
      <c r="A12" s="1" t="s">
        <v>21</v>
      </c>
      <c r="B12" s="4">
        <f t="shared" ref="B12:B14" si="0">C12*0.005</f>
        <v>2.5635895918236393</v>
      </c>
      <c r="C12" s="2">
        <f>C13/1.65</f>
        <v>512.71791836472789</v>
      </c>
      <c r="D12" s="4">
        <f>D13/1.65</f>
        <v>23.296513301201955</v>
      </c>
      <c r="E12" s="4">
        <f>E13/1.65</f>
        <v>95.029735426938615</v>
      </c>
      <c r="F12" s="4">
        <v>30</v>
      </c>
      <c r="G12" s="4">
        <v>5</v>
      </c>
      <c r="H12" s="4">
        <v>5</v>
      </c>
      <c r="I12" s="4">
        <v>5</v>
      </c>
      <c r="J12" s="1">
        <v>35.804091778642068</v>
      </c>
      <c r="K12" s="19">
        <v>0.7</v>
      </c>
      <c r="L12" s="1">
        <v>0.35744153755741681</v>
      </c>
      <c r="M12" s="4">
        <f>M13/1.65</f>
        <v>3.2728123917813194</v>
      </c>
      <c r="N12" s="4">
        <f>N13/1.65</f>
        <v>0.19388963758399141</v>
      </c>
    </row>
    <row r="13" spans="1:14" x14ac:dyDescent="0.3">
      <c r="A13" s="1" t="s">
        <v>22</v>
      </c>
      <c r="B13" s="4">
        <f t="shared" si="0"/>
        <v>4.2299228265090054</v>
      </c>
      <c r="C13" s="2">
        <f>C14/0.75</f>
        <v>845.98456530180101</v>
      </c>
      <c r="D13" s="4">
        <f>D14/0.75</f>
        <v>38.439246946983225</v>
      </c>
      <c r="E13" s="4">
        <f>E14/0.75</f>
        <v>156.79906345444871</v>
      </c>
      <c r="F13" s="4">
        <v>30</v>
      </c>
      <c r="G13" s="4">
        <v>5</v>
      </c>
      <c r="H13" s="4">
        <v>5</v>
      </c>
      <c r="I13" s="4">
        <v>5</v>
      </c>
      <c r="J13" s="1">
        <v>35.804091778642068</v>
      </c>
      <c r="K13" s="19">
        <v>0.7</v>
      </c>
      <c r="L13" s="1">
        <v>0.35744153755741681</v>
      </c>
      <c r="M13" s="4">
        <f>M14/0.75</f>
        <v>5.4001404464391767</v>
      </c>
      <c r="N13" s="4">
        <f>N14/0.75</f>
        <v>0.31991790201358583</v>
      </c>
    </row>
    <row r="14" spans="1:14" x14ac:dyDescent="0.3">
      <c r="A14" s="1" t="s">
        <v>23</v>
      </c>
      <c r="B14" s="4">
        <f t="shared" si="0"/>
        <v>3.1724421198817541</v>
      </c>
      <c r="C14" s="2">
        <f>R29</f>
        <v>634.48842397635076</v>
      </c>
      <c r="D14" s="4">
        <f>K29</f>
        <v>28.829435210237421</v>
      </c>
      <c r="E14" s="4">
        <f>O29</f>
        <v>117.59929759083653</v>
      </c>
      <c r="F14" s="4">
        <v>30</v>
      </c>
      <c r="G14" s="4">
        <v>5</v>
      </c>
      <c r="H14" s="4">
        <v>5</v>
      </c>
      <c r="I14" s="4">
        <v>5</v>
      </c>
      <c r="J14" s="1">
        <v>35.804091778642068</v>
      </c>
      <c r="K14" s="19">
        <v>0.7</v>
      </c>
      <c r="L14" s="1">
        <v>0.35744153755741681</v>
      </c>
      <c r="M14" s="4">
        <f>G33</f>
        <v>4.0501053348293823</v>
      </c>
      <c r="N14" s="4">
        <f>G37</f>
        <v>0.23993842651018937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845.53361404097905</v>
      </c>
      <c r="B24" s="1">
        <f>A24*0.73381</f>
        <v>620.46102131941075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93.069153197911604</v>
      </c>
      <c r="D29" s="8"/>
      <c r="E29" s="8">
        <f>B24*E26</f>
        <v>347.45817193887007</v>
      </c>
      <c r="F29" s="8"/>
      <c r="G29" s="8">
        <f>B24*G26</f>
        <v>93.069153197911604</v>
      </c>
      <c r="H29" s="8"/>
      <c r="I29" s="8">
        <f>E29*0.19</f>
        <v>66.017052668385318</v>
      </c>
      <c r="J29" s="8">
        <f>C29-I29</f>
        <v>27.052100529526285</v>
      </c>
      <c r="K29" s="14">
        <f>J29/0.93835</f>
        <v>28.829435210237421</v>
      </c>
      <c r="L29" s="8"/>
      <c r="M29" s="8">
        <f>E29*0.15</f>
        <v>52.11872579083051</v>
      </c>
      <c r="N29" s="8">
        <f>G29-M29</f>
        <v>40.950427407081094</v>
      </c>
      <c r="O29" s="14">
        <f>N29/0.34822</f>
        <v>117.59929759083653</v>
      </c>
      <c r="P29" s="8"/>
      <c r="Q29" s="8">
        <f>E29+I29+M29</f>
        <v>465.59395039808589</v>
      </c>
      <c r="R29" s="14">
        <f>Q29/0.73381</f>
        <v>634.48842397635076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27.052100529526285</v>
      </c>
      <c r="O32" s="1">
        <f>O29*0.34822</f>
        <v>40.950427407081094</v>
      </c>
      <c r="R32" s="1">
        <f>R29*0.73381</f>
        <v>465.59395039808595</v>
      </c>
      <c r="T32" s="17">
        <f>SUM(K32,O32,R32,G33,G37)</f>
        <v>537.88652209603288</v>
      </c>
    </row>
    <row r="33" spans="3:8" x14ac:dyDescent="0.3">
      <c r="C33" s="1">
        <f>B24*D24</f>
        <v>55.841491918746968</v>
      </c>
      <c r="E33" s="1">
        <f>R29*0.081627</f>
        <v>51.791386583917586</v>
      </c>
      <c r="G33" s="14">
        <f>C33-E33</f>
        <v>4.0501053348293823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10.547837362429984</v>
      </c>
      <c r="E37" s="1">
        <f>R29*0.016246</f>
        <v>10.307898935919795</v>
      </c>
      <c r="G37" s="14">
        <f>C37-E37</f>
        <v>0.23993842651018937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original</vt:lpstr>
      <vt:lpstr>change</vt:lpstr>
      <vt:lpstr>cali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Ga-Yeong Kim</dc:creator>
  <cp:lastModifiedBy>Ga-Yeong Kim</cp:lastModifiedBy>
  <dcterms:created xsi:type="dcterms:W3CDTF">2023-01-26T04:49:30Z</dcterms:created>
  <dcterms:modified xsi:type="dcterms:W3CDTF">2023-09-28T00:12:13Z</dcterms:modified>
</cp:coreProperties>
</file>